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comments3.xml" ContentType="application/vnd.openxmlformats-officedocument.spreadsheetml.comments+xml"/>
  <Override PartName="/xl/charts/chart1.xml" ContentType="application/vnd.openxmlformats-officedocument.drawingml.chart+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codeName="ThisWorkbook" defaultThemeVersion="124226"/>
  <mc:AlternateContent xmlns:mc="http://schemas.openxmlformats.org/markup-compatibility/2006">
    <mc:Choice Requires="x15">
      <x15ac:absPath xmlns:x15ac="http://schemas.microsoft.com/office/spreadsheetml/2010/11/ac" url="C:\My files\Documents\UNFCCC\Post Kyoto\Pipelines\To upload\"/>
    </mc:Choice>
  </mc:AlternateContent>
  <xr:revisionPtr revIDLastSave="0" documentId="8_{48BEACAE-7630-445A-8EA0-462C2E91DE56}" xr6:coauthVersionLast="47" xr6:coauthVersionMax="47" xr10:uidLastSave="{00000000-0000-0000-0000-000000000000}"/>
  <bookViews>
    <workbookView xWindow="-120" yWindow="-120" windowWidth="29040" windowHeight="17640" activeTab="4" xr2:uid="{00000000-000D-0000-FFFF-FFFF00000000}"/>
  </bookViews>
  <sheets>
    <sheet name="NAMAs" sheetId="1" r:id="rId1"/>
    <sheet name="Support" sheetId="7" r:id="rId2"/>
    <sheet name="Analysis" sheetId="5" r:id="rId3"/>
    <sheet name="TC Taxonomy" sheetId="11" r:id="rId4"/>
    <sheet name="Submissions" sheetId="6" r:id="rId5"/>
    <sheet name="Time" sheetId="8" r:id="rId6"/>
    <sheet name="NAMA Facility" sheetId="10" r:id="rId7"/>
  </sheets>
  <definedNames>
    <definedName name="_xlnm._FilterDatabase" localSheetId="0" hidden="1">NAMAs!$A$3:$BBW$3</definedName>
    <definedName name="_xlnm._FilterDatabase" localSheetId="4" hidden="1">Submissions!$A$3:$BAO$3</definedName>
    <definedName name="_xlnm._FilterDatabase" localSheetId="1" hidden="1">Support!$A$3:$BBB$3</definedName>
    <definedName name="Abovehost">Analysis!$A$26</definedName>
    <definedName name="Belowhost">Analysis!$A$84</definedName>
    <definedName name="Category">NAMAs!$R$3</definedName>
    <definedName name="Countrytable">Analysis!$A$26</definedName>
    <definedName name="Financial">NAMAs!$AD$3</definedName>
    <definedName name="Host">NAMAs!$G$3</definedName>
    <definedName name="Lastline">NAMAs!$A$202</definedName>
    <definedName name="ReductionIn2020">NAMAs!$AH$3</definedName>
    <definedName name="Status">NAMAs!$T$3</definedName>
    <definedName name="Submissiondate">NAMAs!$Q$3</definedName>
    <definedName name="Total_cost">NAMAs!$X$3</definedName>
    <definedName name="Total_request">NAMAs!$AC$3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X204" i="1" l="1"/>
  <c r="X203" i="1"/>
  <c r="AH202" i="1"/>
  <c r="X200" i="1"/>
  <c r="X202" i="1"/>
  <c r="Z201" i="1"/>
  <c r="X201" i="1" s="1"/>
  <c r="E39" i="5" l="1"/>
  <c r="DR2" i="8" l="1"/>
  <c r="Z199" i="1" l="1"/>
  <c r="AD199" i="1"/>
  <c r="AC199" i="1" s="1"/>
  <c r="X199" i="1" l="1"/>
  <c r="E42" i="5"/>
  <c r="R22" i="7" l="1"/>
  <c r="Q22" i="7" s="1"/>
  <c r="P198" i="1"/>
  <c r="AC197" i="1" l="1"/>
  <c r="X198" i="1"/>
  <c r="Z197" i="1" l="1"/>
  <c r="X197" i="1" s="1"/>
  <c r="E41" i="5"/>
  <c r="AD196" i="1" l="1"/>
  <c r="AC196" i="1"/>
  <c r="X196" i="1"/>
  <c r="X195" i="1"/>
  <c r="AD194" i="1" l="1"/>
  <c r="AC194" i="1" s="1"/>
  <c r="AI193" i="1" l="1"/>
  <c r="AH193" i="1"/>
  <c r="AD193" i="1"/>
  <c r="AC193" i="1" s="1"/>
  <c r="X193" i="1" s="1"/>
  <c r="E52" i="5" l="1"/>
  <c r="AH192" i="1" l="1"/>
  <c r="Z192" i="1"/>
  <c r="AD192" i="1"/>
  <c r="AG72" i="1" l="1"/>
  <c r="AD190" i="1" l="1"/>
  <c r="AC190" i="1" s="1"/>
  <c r="Z190" i="1" s="1"/>
  <c r="AD191" i="1"/>
  <c r="AC191" i="1" s="1"/>
  <c r="Z191" i="1" s="1"/>
  <c r="X191" i="1" s="1"/>
  <c r="AD189" i="1"/>
  <c r="AC189" i="1" s="1"/>
  <c r="Z189" i="1" s="1"/>
  <c r="X189" i="1" s="1"/>
  <c r="X188" i="1"/>
  <c r="AC187" i="1" l="1"/>
  <c r="X187" i="1" s="1"/>
  <c r="AC186" i="1"/>
  <c r="X186" i="1" s="1"/>
  <c r="E35" i="5"/>
  <c r="E45" i="5" l="1"/>
  <c r="AC185" i="1" l="1"/>
  <c r="X185" i="1" s="1"/>
  <c r="H85" i="5"/>
  <c r="G85" i="5"/>
  <c r="F85" i="5"/>
  <c r="D85" i="5"/>
  <c r="C85" i="5"/>
  <c r="B85" i="5"/>
  <c r="H44" i="5"/>
  <c r="G44" i="5"/>
  <c r="F44" i="5"/>
  <c r="D44" i="5"/>
  <c r="C44" i="5"/>
  <c r="B44" i="5"/>
  <c r="AC184" i="1" l="1"/>
  <c r="X184" i="1" s="1"/>
  <c r="AC183" i="1"/>
  <c r="AC182" i="1"/>
  <c r="AC181" i="1"/>
  <c r="AC180" i="1"/>
  <c r="X183" i="1" l="1"/>
  <c r="X182" i="1" l="1"/>
  <c r="X181" i="1" l="1"/>
  <c r="X180" i="1"/>
  <c r="E74" i="5" l="1"/>
  <c r="E73" i="5"/>
  <c r="H80" i="5" l="1"/>
  <c r="G80" i="5"/>
  <c r="F80" i="5"/>
  <c r="D80" i="5"/>
  <c r="C80" i="5"/>
  <c r="B80" i="5"/>
  <c r="AC179" i="1"/>
  <c r="X179" i="1" s="1"/>
  <c r="Z178" i="1"/>
  <c r="AC178" i="1"/>
  <c r="X178" i="1" l="1"/>
  <c r="E81" i="5" l="1"/>
  <c r="AC177" i="1" l="1"/>
  <c r="X177" i="1" s="1"/>
  <c r="AC176" i="1" l="1"/>
  <c r="Z176" i="1" s="1"/>
  <c r="X176" i="1" l="1"/>
  <c r="AC175" i="1"/>
  <c r="X175" i="1" s="1"/>
  <c r="W174" i="1" l="1"/>
  <c r="AH174" i="1"/>
  <c r="AC174" i="1"/>
  <c r="X174" i="1" s="1"/>
  <c r="E36" i="5"/>
  <c r="AC173" i="1" l="1"/>
  <c r="X173" i="1" s="1"/>
  <c r="E37" i="5"/>
  <c r="Z172" i="1" l="1"/>
  <c r="AC172" i="1"/>
  <c r="AC171" i="1"/>
  <c r="X171" i="1" s="1"/>
  <c r="X172" i="1" l="1"/>
  <c r="AM169" i="1"/>
  <c r="Z170" i="1"/>
  <c r="AD170" i="1"/>
  <c r="AC170" i="1" s="1"/>
  <c r="Z169" i="1"/>
  <c r="AD169" i="1"/>
  <c r="X170" i="1" l="1"/>
  <c r="Z168" i="1"/>
  <c r="AD168" i="1"/>
  <c r="Z167" i="1" l="1"/>
  <c r="AD167" i="1"/>
  <c r="Z166" i="1" l="1"/>
  <c r="AD166" i="1"/>
  <c r="Z165" i="1"/>
  <c r="AD165" i="1"/>
  <c r="Z164" i="1"/>
  <c r="AD164" i="1"/>
  <c r="AC169" i="1" l="1"/>
  <c r="X169" i="1" s="1"/>
  <c r="AC168" i="1"/>
  <c r="X168" i="1" s="1"/>
  <c r="AC167" i="1"/>
  <c r="X167" i="1" s="1"/>
  <c r="AC166" i="1"/>
  <c r="X166" i="1" s="1"/>
  <c r="AC165" i="1"/>
  <c r="X165" i="1" s="1"/>
  <c r="Z162" i="1" l="1"/>
  <c r="AD162" i="1"/>
  <c r="AD160" i="1" l="1"/>
  <c r="Z160" i="1"/>
  <c r="Z158" i="1"/>
  <c r="AD158" i="1"/>
  <c r="Z154" i="1"/>
  <c r="Z152" i="1" l="1"/>
  <c r="AC164" i="1"/>
  <c r="X164" i="1" s="1"/>
  <c r="AC162" i="1"/>
  <c r="X162" i="1" s="1"/>
  <c r="AC160" i="1"/>
  <c r="X160" i="1" s="1"/>
  <c r="AC158" i="1"/>
  <c r="X158" i="1" s="1"/>
  <c r="AC156" i="1"/>
  <c r="X156" i="1" s="1"/>
  <c r="AC154" i="1"/>
  <c r="X154" i="1" s="1"/>
  <c r="AC152" i="1"/>
  <c r="X152" i="1" l="1"/>
  <c r="E63" i="5"/>
  <c r="AC150" i="1" l="1"/>
  <c r="X150" i="1" s="1"/>
  <c r="AE148" i="1" l="1"/>
  <c r="AD148" i="1"/>
  <c r="E34" i="5"/>
  <c r="AC148" i="1" l="1"/>
  <c r="Z148" i="1" s="1"/>
  <c r="X148" i="1" s="1"/>
  <c r="R7" i="7"/>
  <c r="AC146" i="1" l="1"/>
  <c r="X146" i="1" s="1"/>
  <c r="E53" i="5" l="1"/>
  <c r="AC144" i="1"/>
  <c r="X144" i="1" s="1"/>
  <c r="E31" i="5" l="1"/>
  <c r="E78" i="5" l="1"/>
  <c r="Z163" i="1" l="1"/>
  <c r="AN161" i="1"/>
  <c r="Z161" i="1"/>
  <c r="AC163" i="1"/>
  <c r="AC161" i="1"/>
  <c r="AC159" i="1"/>
  <c r="X159" i="1" s="1"/>
  <c r="AC157" i="1"/>
  <c r="X157" i="1" s="1"/>
  <c r="X161" i="1" l="1"/>
  <c r="X163" i="1"/>
  <c r="Q11" i="7"/>
  <c r="AC155" i="1" l="1"/>
  <c r="X155" i="1" s="1"/>
  <c r="P155" i="1"/>
  <c r="R6" i="7" l="1"/>
  <c r="W16" i="1"/>
  <c r="W103" i="1"/>
  <c r="AC153" i="1" l="1"/>
  <c r="Z153" i="1" s="1"/>
  <c r="X153" i="1" s="1"/>
  <c r="AC151" i="1" l="1"/>
  <c r="X151" i="1" s="1"/>
  <c r="Z149" i="1" l="1"/>
  <c r="AC149" i="1"/>
  <c r="X149" i="1" l="1"/>
  <c r="E55" i="5"/>
  <c r="AC147" i="1" l="1"/>
  <c r="X147" i="1" s="1"/>
  <c r="Z143" i="1" l="1"/>
  <c r="AC145" i="1"/>
  <c r="AC143" i="1"/>
  <c r="X143" i="1" l="1"/>
  <c r="H66" i="5"/>
  <c r="G66" i="5"/>
  <c r="F66" i="5"/>
  <c r="D66" i="5"/>
  <c r="C66" i="5"/>
  <c r="B66" i="5"/>
  <c r="P140" i="1"/>
  <c r="P142" i="1" l="1"/>
  <c r="AC142" i="1" l="1"/>
  <c r="X142" i="1" s="1"/>
  <c r="AC141" i="1"/>
  <c r="X141" i="1" s="1"/>
  <c r="AC140" i="1"/>
  <c r="X140" i="1" s="1"/>
  <c r="W140" i="1" s="1"/>
  <c r="AC139" i="1"/>
  <c r="X139" i="1" s="1"/>
  <c r="AC138" i="1"/>
  <c r="X138" i="1" s="1"/>
  <c r="E79" i="5" l="1"/>
  <c r="AC137" i="1" l="1"/>
  <c r="X137" i="1" s="1"/>
  <c r="AC136" i="1" l="1"/>
  <c r="Z136" i="1" l="1"/>
  <c r="X136" i="1" s="1"/>
  <c r="E37" i="10"/>
  <c r="D37" i="10"/>
  <c r="AE133" i="1" l="1"/>
  <c r="AF133" i="1"/>
  <c r="AD133" i="1" l="1"/>
  <c r="AC133" i="1" s="1"/>
  <c r="X133" i="1" s="1"/>
  <c r="AC135" i="1" l="1"/>
  <c r="X135" i="1" s="1"/>
  <c r="E65" i="5"/>
  <c r="AH134" i="1" l="1"/>
  <c r="AC134" i="1"/>
  <c r="X134" i="1" s="1"/>
  <c r="W134" i="1"/>
  <c r="E40" i="5" l="1"/>
  <c r="R18" i="7" l="1"/>
  <c r="AC132" i="1" l="1"/>
  <c r="X132" i="1" s="1"/>
  <c r="AC131" i="1" l="1"/>
  <c r="X131" i="1" s="1"/>
  <c r="E56" i="5" l="1"/>
  <c r="AC130" i="1" l="1"/>
  <c r="Z130" i="1" s="1"/>
  <c r="X130" i="1" s="1"/>
  <c r="AC129" i="1" l="1"/>
  <c r="X129" i="1" s="1"/>
  <c r="E48" i="5" l="1"/>
  <c r="W125" i="1" l="1"/>
  <c r="Z128" i="1" l="1"/>
  <c r="AC128" i="1"/>
  <c r="AC127" i="1"/>
  <c r="X127" i="1" s="1"/>
  <c r="X128" i="1" l="1"/>
  <c r="AH127" i="1"/>
  <c r="AH126" i="1" l="1"/>
  <c r="Z125" i="1" l="1"/>
  <c r="AE125" i="1"/>
  <c r="AD125" i="1"/>
  <c r="AC126" i="1"/>
  <c r="X126" i="1" s="1"/>
  <c r="AC125" i="1" l="1"/>
  <c r="X125" i="1" s="1"/>
  <c r="AC124" i="1"/>
  <c r="X124" i="1" s="1"/>
  <c r="AC123" i="1"/>
  <c r="X123" i="1" s="1"/>
  <c r="P122" i="1"/>
  <c r="E60" i="5" l="1"/>
  <c r="Z121" i="1"/>
  <c r="AC121" i="1"/>
  <c r="AH121" i="1"/>
  <c r="X121" i="1" l="1"/>
  <c r="AC120" i="1"/>
  <c r="X120" i="1" s="1"/>
  <c r="R24" i="7" l="1"/>
  <c r="W15" i="1"/>
  <c r="W77" i="1"/>
  <c r="AC119" i="1" l="1"/>
  <c r="X119" i="1" s="1"/>
  <c r="AC118" i="1" l="1"/>
  <c r="X118" i="1" s="1"/>
  <c r="AH108" i="1" l="1"/>
  <c r="P108" i="1"/>
  <c r="AH109" i="1"/>
  <c r="AH110" i="1" l="1"/>
  <c r="P110" i="1"/>
  <c r="AH111" i="1" l="1"/>
  <c r="P111" i="1"/>
  <c r="AH112" i="1"/>
  <c r="P112" i="1"/>
  <c r="AH113" i="1"/>
  <c r="P113" i="1"/>
  <c r="AH114" i="1"/>
  <c r="AN114" i="1"/>
  <c r="AH116" i="1" l="1"/>
  <c r="AI116" i="1" s="1"/>
  <c r="AC113" i="1" l="1"/>
  <c r="X113" i="1" s="1"/>
  <c r="AC112" i="1"/>
  <c r="X112" i="1" s="1"/>
  <c r="AC111" i="1"/>
  <c r="X111" i="1" s="1"/>
  <c r="AC110" i="1"/>
  <c r="X110" i="1" s="1"/>
  <c r="AC109" i="1"/>
  <c r="X109" i="1" s="1"/>
  <c r="AC108" i="1"/>
  <c r="X108" i="1" s="1"/>
  <c r="AC114" i="1"/>
  <c r="X114" i="1" s="1"/>
  <c r="AC117" i="1"/>
  <c r="X117" i="1" s="1"/>
  <c r="AC116" i="1"/>
  <c r="X116" i="1" s="1"/>
  <c r="P117" i="1" l="1"/>
  <c r="E72" i="5" l="1"/>
  <c r="AC107" i="1" l="1"/>
  <c r="X107" i="1" s="1"/>
  <c r="AC115" i="1" l="1"/>
  <c r="X115" i="1" s="1"/>
  <c r="E49" i="5" l="1"/>
  <c r="Q7" i="7" l="1"/>
  <c r="D120" i="5" l="1"/>
  <c r="AH78" i="1"/>
  <c r="AH106" i="1" l="1"/>
  <c r="AC106" i="1"/>
  <c r="X106" i="1" s="1"/>
  <c r="E76" i="5" l="1"/>
  <c r="AC105" i="1" l="1"/>
  <c r="X105" i="1" s="1"/>
  <c r="X104" i="1" l="1"/>
  <c r="E68" i="5" l="1"/>
  <c r="N103" i="1" l="1"/>
  <c r="AC103" i="1"/>
  <c r="X103" i="1" s="1"/>
  <c r="E54" i="5" l="1"/>
  <c r="E51" i="5"/>
  <c r="AC102" i="1" l="1"/>
  <c r="X102" i="1" s="1"/>
  <c r="E71" i="5" l="1"/>
  <c r="Q18" i="7"/>
  <c r="AC101" i="1"/>
  <c r="X101" i="1" s="1"/>
  <c r="W101" i="1" s="1"/>
  <c r="E83" i="5" l="1"/>
  <c r="E82" i="5" l="1"/>
  <c r="E80" i="5" s="1"/>
  <c r="AC100" i="1"/>
  <c r="X100" i="1" s="1"/>
  <c r="AC99" i="1"/>
  <c r="X99" i="1" s="1"/>
  <c r="AC98" i="1"/>
  <c r="X98" i="1" s="1"/>
  <c r="AC97" i="1"/>
  <c r="X97" i="1" s="1"/>
  <c r="AC96" i="1"/>
  <c r="X96" i="1" s="1"/>
  <c r="AH73" i="1" l="1"/>
  <c r="Z45" i="1" l="1"/>
  <c r="AD33" i="1"/>
  <c r="Z32" i="1" l="1"/>
  <c r="AH95" i="1" l="1"/>
  <c r="AF95" i="1"/>
  <c r="AC95" i="1" s="1"/>
  <c r="X95" i="1" s="1"/>
  <c r="AC94" i="1" l="1"/>
  <c r="X94" i="1" s="1"/>
  <c r="AH57" i="1" l="1"/>
  <c r="AM14" i="1" l="1"/>
  <c r="Z90" i="1" l="1"/>
  <c r="AC93" i="1" l="1"/>
  <c r="X93" i="1" s="1"/>
  <c r="AC92" i="1"/>
  <c r="X92" i="1" s="1"/>
  <c r="AC91" i="1"/>
  <c r="X91" i="1" s="1"/>
  <c r="AC90" i="1"/>
  <c r="X90" i="1" s="1"/>
  <c r="F57" i="5" l="1"/>
  <c r="F27" i="5"/>
  <c r="F84" i="5" l="1"/>
  <c r="Z21" i="1"/>
  <c r="Z13" i="1"/>
  <c r="Z46" i="1"/>
  <c r="AC89" i="1"/>
  <c r="X89" i="1" s="1"/>
  <c r="AC88" i="1"/>
  <c r="X88" i="1" s="1"/>
  <c r="AC87" i="1"/>
  <c r="AC86" i="1"/>
  <c r="X86" i="1" s="1"/>
  <c r="AC85" i="1"/>
  <c r="X85" i="1" s="1"/>
  <c r="AC84" i="1"/>
  <c r="X84" i="1" s="1"/>
  <c r="AC83" i="1"/>
  <c r="X83" i="1" s="1"/>
  <c r="AC82" i="1"/>
  <c r="X82" i="1" s="1"/>
  <c r="AC81" i="1"/>
  <c r="X81" i="1" s="1"/>
  <c r="AC80" i="1"/>
  <c r="X80" i="1" s="1"/>
  <c r="AC79" i="1"/>
  <c r="X79" i="1" s="1"/>
  <c r="AC78" i="1"/>
  <c r="X78" i="1" s="1"/>
  <c r="AC76" i="1"/>
  <c r="X76" i="1" s="1"/>
  <c r="AC75" i="1"/>
  <c r="X75" i="1" s="1"/>
  <c r="AC74" i="1"/>
  <c r="X74" i="1" s="1"/>
  <c r="AC73" i="1"/>
  <c r="X73" i="1" s="1"/>
  <c r="AC72" i="1"/>
  <c r="X72" i="1" s="1"/>
  <c r="AC71" i="1"/>
  <c r="X71" i="1" s="1"/>
  <c r="AC70" i="1"/>
  <c r="AC69" i="1"/>
  <c r="X69" i="1" s="1"/>
  <c r="AC68" i="1"/>
  <c r="X68" i="1" s="1"/>
  <c r="AC67" i="1"/>
  <c r="X67" i="1" s="1"/>
  <c r="AC66" i="1"/>
  <c r="X66" i="1" s="1"/>
  <c r="AC65" i="1"/>
  <c r="X65" i="1" s="1"/>
  <c r="AC64" i="1"/>
  <c r="X64" i="1" s="1"/>
  <c r="AC63" i="1"/>
  <c r="X63" i="1" s="1"/>
  <c r="AC62" i="1"/>
  <c r="X62" i="1" s="1"/>
  <c r="AC61" i="1"/>
  <c r="X61" i="1" s="1"/>
  <c r="AC59" i="1"/>
  <c r="X59" i="1" s="1"/>
  <c r="AC60" i="1"/>
  <c r="X60" i="1" s="1"/>
  <c r="AC58" i="1"/>
  <c r="X58" i="1" s="1"/>
  <c r="AC57" i="1"/>
  <c r="X57" i="1" s="1"/>
  <c r="AC56" i="1"/>
  <c r="X56" i="1" s="1"/>
  <c r="AC55" i="1"/>
  <c r="X55" i="1" s="1"/>
  <c r="AC54" i="1"/>
  <c r="X54" i="1" s="1"/>
  <c r="AC53" i="1"/>
  <c r="X53" i="1" s="1"/>
  <c r="AC51" i="1"/>
  <c r="X51" i="1" s="1"/>
  <c r="AC50" i="1"/>
  <c r="AC49" i="1"/>
  <c r="X49" i="1" s="1"/>
  <c r="AC47" i="1"/>
  <c r="AC46" i="1"/>
  <c r="AC45" i="1"/>
  <c r="AC44" i="1"/>
  <c r="X44" i="1" s="1"/>
  <c r="AC41" i="1"/>
  <c r="AC39" i="1"/>
  <c r="X39" i="1" s="1"/>
  <c r="AC38" i="1"/>
  <c r="X38" i="1" s="1"/>
  <c r="AC36" i="1"/>
  <c r="X36" i="1" s="1"/>
  <c r="AC35" i="1"/>
  <c r="X35" i="1" s="1"/>
  <c r="AC34" i="1"/>
  <c r="X34" i="1" s="1"/>
  <c r="AC21" i="1"/>
  <c r="AC19" i="1"/>
  <c r="X19" i="1" s="1"/>
  <c r="AC18" i="1"/>
  <c r="X18" i="1" s="1"/>
  <c r="AC16" i="1"/>
  <c r="X16" i="1" s="1"/>
  <c r="AC15" i="1"/>
  <c r="X15" i="1" s="1"/>
  <c r="AC12" i="1"/>
  <c r="X12" i="1" s="1"/>
  <c r="AC11" i="1"/>
  <c r="X11" i="1" s="1"/>
  <c r="AC10" i="1"/>
  <c r="X10" i="1" s="1"/>
  <c r="AC9" i="1"/>
  <c r="X9" i="1" s="1"/>
  <c r="AC14" i="1"/>
  <c r="X14" i="1" s="1"/>
  <c r="AC13" i="1"/>
  <c r="AC8" i="1"/>
  <c r="X8" i="1" s="1"/>
  <c r="AC7" i="1"/>
  <c r="X7" i="1" s="1"/>
  <c r="AC6" i="1"/>
  <c r="X6" i="1" s="1"/>
  <c r="AC5" i="1"/>
  <c r="X5" i="1" s="1"/>
  <c r="AC4" i="1"/>
  <c r="Z87" i="1" l="1"/>
  <c r="X87" i="1" s="1"/>
  <c r="Z50" i="1"/>
  <c r="X50" i="1" s="1"/>
  <c r="X4" i="1"/>
  <c r="X13" i="1"/>
  <c r="X46" i="1"/>
  <c r="X21" i="1"/>
  <c r="X45" i="1"/>
  <c r="AD77" i="1"/>
  <c r="AC77" i="1" l="1"/>
  <c r="X77" i="1" s="1"/>
  <c r="E29" i="5"/>
  <c r="G57" i="5" l="1"/>
  <c r="G27" i="5"/>
  <c r="E77" i="5" l="1"/>
  <c r="Z70" i="1" l="1"/>
  <c r="X70" i="1" s="1"/>
  <c r="H57" i="5" l="1"/>
  <c r="D57" i="5"/>
  <c r="C57" i="5"/>
  <c r="B57" i="5"/>
  <c r="E58" i="5"/>
  <c r="E30" i="5"/>
  <c r="Q13" i="7" l="1"/>
  <c r="G84" i="5" l="1"/>
  <c r="H27" i="5"/>
  <c r="E62" i="5" l="1"/>
  <c r="H84" i="5" l="1"/>
  <c r="E75" i="5"/>
  <c r="AH55" i="1" l="1"/>
  <c r="W52" i="1" l="1"/>
  <c r="AD52" i="1" l="1"/>
  <c r="AC52" i="1" s="1"/>
  <c r="X52" i="1" s="1"/>
  <c r="W47" i="1" l="1"/>
  <c r="W206" i="1" s="1"/>
  <c r="E59" i="5" l="1"/>
  <c r="Q12" i="7" l="1"/>
  <c r="D119" i="5" l="1"/>
  <c r="D117" i="5"/>
  <c r="D27" i="5"/>
  <c r="C27" i="5"/>
  <c r="B27" i="5"/>
  <c r="B84" i="5" l="1"/>
  <c r="E67" i="5"/>
  <c r="E69" i="5"/>
  <c r="E70" i="5"/>
  <c r="E66" i="5"/>
  <c r="E64" i="5"/>
  <c r="E61" i="5"/>
  <c r="E50" i="5"/>
  <c r="E47" i="5"/>
  <c r="E46" i="5"/>
  <c r="E44" i="5"/>
  <c r="E43" i="5"/>
  <c r="E38" i="5"/>
  <c r="E33" i="5"/>
  <c r="E32" i="5"/>
  <c r="E28" i="5"/>
  <c r="E27" i="5"/>
  <c r="E85" i="5" l="1"/>
  <c r="E57" i="5"/>
  <c r="AD43" i="1" l="1"/>
  <c r="AC43" i="1" s="1"/>
  <c r="X43" i="1" s="1"/>
  <c r="AH49" i="1" l="1"/>
  <c r="AI49" i="1" s="1"/>
  <c r="AD48" i="1" l="1"/>
  <c r="AC48" i="1" l="1"/>
  <c r="X48" i="1" s="1"/>
  <c r="Z47" i="1"/>
  <c r="X47" i="1" s="1"/>
  <c r="AG44" i="1" l="1"/>
  <c r="AH44" i="1" s="1"/>
  <c r="AI44" i="1" l="1"/>
  <c r="Q6" i="7"/>
  <c r="AH42" i="1"/>
  <c r="AG41" i="1"/>
  <c r="AH41" i="1" s="1"/>
  <c r="Z41" i="1"/>
  <c r="X41" i="1" s="1"/>
  <c r="Z40" i="1"/>
  <c r="AD40" i="1"/>
  <c r="AC40" i="1" s="1"/>
  <c r="P39" i="1"/>
  <c r="P38" i="1"/>
  <c r="AE37" i="1"/>
  <c r="AC37" i="1" s="1"/>
  <c r="X37" i="1" s="1"/>
  <c r="P37" i="1"/>
  <c r="P34" i="1"/>
  <c r="D118" i="5" l="1"/>
  <c r="D114" i="5"/>
  <c r="D115" i="5"/>
  <c r="Q24" i="7"/>
  <c r="X40" i="1"/>
  <c r="A1" i="7"/>
  <c r="D121" i="5" l="1"/>
  <c r="F121" i="5" s="1"/>
  <c r="A1" i="1"/>
  <c r="AH33" i="1"/>
  <c r="AG33" i="1"/>
  <c r="AI33" i="1" s="1"/>
  <c r="AC33" i="1"/>
  <c r="X33" i="1" s="1"/>
  <c r="AN33" i="1" l="1"/>
  <c r="AI32" i="1"/>
  <c r="AI30" i="1"/>
  <c r="AH32" i="1"/>
  <c r="AD32" i="1"/>
  <c r="AC32" i="1" s="1"/>
  <c r="X32" i="1" l="1"/>
  <c r="AH31" i="1"/>
  <c r="AI31" i="1" s="1"/>
  <c r="Z31" i="1"/>
  <c r="AD31" i="1"/>
  <c r="AC31" i="1" s="1"/>
  <c r="X31" i="1" l="1"/>
  <c r="AD30" i="1"/>
  <c r="AH29" i="1"/>
  <c r="AI29" i="1" s="1"/>
  <c r="AD29" i="1"/>
  <c r="AC29" i="1" s="1"/>
  <c r="X29" i="1" s="1"/>
  <c r="AC30" i="1" l="1"/>
  <c r="X30" i="1" s="1"/>
  <c r="A1" i="5"/>
  <c r="B110" i="5" l="1"/>
  <c r="D84" i="5" l="1"/>
  <c r="AG28" i="1"/>
  <c r="AH28" i="1" s="1"/>
  <c r="AI28" i="1" s="1"/>
  <c r="AE28" i="1"/>
  <c r="AG27" i="1"/>
  <c r="AH27" i="1" s="1"/>
  <c r="AD27" i="1"/>
  <c r="AG26" i="1"/>
  <c r="AH26" i="1" s="1"/>
  <c r="AI26" i="1" s="1"/>
  <c r="AE25" i="1"/>
  <c r="AD26" i="1"/>
  <c r="AD25" i="1"/>
  <c r="AD24" i="1"/>
  <c r="AC24" i="1" s="1"/>
  <c r="X24" i="1" s="1"/>
  <c r="AD23" i="1"/>
  <c r="AC23" i="1" s="1"/>
  <c r="X23" i="1" s="1"/>
  <c r="AD22" i="1"/>
  <c r="AC22" i="1" s="1"/>
  <c r="X22" i="1" s="1"/>
  <c r="AG25" i="1"/>
  <c r="AH25" i="1" s="1"/>
  <c r="AI25" i="1" s="1"/>
  <c r="AC25" i="1" l="1"/>
  <c r="X25" i="1" s="1"/>
  <c r="AC26" i="1"/>
  <c r="X26" i="1" s="1"/>
  <c r="AC28" i="1"/>
  <c r="X28" i="1" s="1"/>
  <c r="AC27" i="1"/>
  <c r="X27" i="1" s="1"/>
  <c r="AI27" i="1"/>
  <c r="AG24" i="1" l="1"/>
  <c r="AH24" i="1" s="1"/>
  <c r="AI24" i="1" s="1"/>
  <c r="AG23" i="1"/>
  <c r="AH22" i="1"/>
  <c r="AI22" i="1"/>
  <c r="AH21" i="1"/>
  <c r="AI21" i="1" s="1"/>
  <c r="AD20" i="1" l="1"/>
  <c r="AC20" i="1" s="1"/>
  <c r="X20" i="1" s="1"/>
  <c r="AD206" i="1" l="1"/>
  <c r="AI18" i="1"/>
  <c r="AG18" i="1" s="1"/>
  <c r="AI19" i="1"/>
  <c r="AG19" i="1" s="1"/>
  <c r="AI16" i="1" l="1"/>
  <c r="AI17" i="1" l="1"/>
  <c r="AG17" i="1" s="1"/>
  <c r="AF17" i="1" l="1"/>
  <c r="Z17" i="1" l="1"/>
  <c r="AC17" i="1"/>
  <c r="AC206" i="1" s="1"/>
  <c r="AG8" i="1"/>
  <c r="AH8" i="1"/>
  <c r="AH206" i="1" s="1"/>
  <c r="AI12" i="1"/>
  <c r="X17" i="1" l="1"/>
  <c r="X206" i="1" s="1"/>
  <c r="AG12" i="1"/>
  <c r="AI14" i="1" l="1"/>
  <c r="AI13" i="1"/>
  <c r="C84" i="5"/>
  <c r="E84" i="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Jørgen Villy Fenhann</author>
    <author>Jørgen Fenhann</author>
  </authors>
  <commentList>
    <comment ref="W3" authorId="0" shapeId="0" xr:uid="{00000000-0006-0000-0000-000001000000}">
      <text>
        <r>
          <rPr>
            <b/>
            <sz val="9"/>
            <color indexed="81"/>
            <rFont val="Tahoma"/>
            <family val="2"/>
          </rPr>
          <t>Only support mentioned at the UNFCCC NAMA registry listed.</t>
        </r>
      </text>
    </comment>
    <comment ref="AN3" authorId="1" shapeId="0" xr:uid="{00000000-0006-0000-0000-000002000000}">
      <text>
        <r>
          <rPr>
            <b/>
            <sz val="10"/>
            <color indexed="81"/>
            <rFont val="Tahoma"/>
            <family val="2"/>
          </rPr>
          <t>If you multiply the number off full time equivalent hours in this column with the number of MW you get the electricity produced in MWh.</t>
        </r>
      </text>
    </comment>
    <comment ref="AH8" authorId="0" shapeId="0" xr:uid="{00000000-0006-0000-0000-000003000000}">
      <text>
        <r>
          <rPr>
            <b/>
            <sz val="8"/>
            <color indexed="81"/>
            <rFont val="Tahoma"/>
            <family val="2"/>
          </rPr>
          <t xml:space="preserve">A linear increase in reduction from 2013 to 2020 is assumed
</t>
        </r>
      </text>
    </comment>
    <comment ref="X14" authorId="0" shapeId="0" xr:uid="{00000000-0006-0000-0000-000004000000}">
      <text>
        <r>
          <rPr>
            <b/>
            <sz val="8"/>
            <color indexed="81"/>
            <rFont val="Tahoma"/>
            <family val="2"/>
          </rPr>
          <t>Only for the wind and Biomass part</t>
        </r>
      </text>
    </comment>
    <comment ref="X15" authorId="0" shapeId="0" xr:uid="{00000000-0006-0000-0000-000005000000}">
      <text>
        <r>
          <rPr>
            <b/>
            <sz val="9"/>
            <color indexed="81"/>
            <rFont val="Tahoma"/>
            <family val="2"/>
          </rPr>
          <t>Total between 400 and 800</t>
        </r>
      </text>
    </comment>
    <comment ref="AD18" authorId="0" shapeId="0" xr:uid="{00000000-0006-0000-0000-000006000000}">
      <text>
        <r>
          <rPr>
            <sz val="9"/>
            <color indexed="81"/>
            <rFont val="Tahoma"/>
            <family val="2"/>
          </rPr>
          <t xml:space="preserve">10 M U$ will be used for initial investment in the plants
</t>
        </r>
      </text>
    </comment>
    <comment ref="Q19" authorId="0" shapeId="0" xr:uid="{00000000-0006-0000-0000-000007000000}">
      <text>
        <r>
          <rPr>
            <b/>
            <sz val="9"/>
            <color indexed="81"/>
            <rFont val="Tahoma"/>
            <family val="2"/>
          </rPr>
          <t>Resubmitted 8 March 2018</t>
        </r>
      </text>
    </comment>
    <comment ref="AG23" authorId="0" shapeId="0" xr:uid="{00000000-0006-0000-0000-000008000000}">
      <text>
        <r>
          <rPr>
            <b/>
            <sz val="9"/>
            <color indexed="81"/>
            <rFont val="Tahoma"/>
            <family val="2"/>
          </rPr>
          <t>Jørgen Villy Fenhann:</t>
        </r>
        <r>
          <rPr>
            <sz val="9"/>
            <color indexed="81"/>
            <rFont val="Tahoma"/>
            <family val="2"/>
          </rPr>
          <t xml:space="preserve">
Value too low
</t>
        </r>
      </text>
    </comment>
    <comment ref="Q55" authorId="0" shapeId="0" xr:uid="{00000000-0006-0000-0000-000009000000}">
      <text>
        <r>
          <rPr>
            <b/>
            <sz val="9"/>
            <color indexed="81"/>
            <rFont val="Tahoma"/>
            <family val="2"/>
          </rPr>
          <t>Resubmitted 12. March 2018</t>
        </r>
      </text>
    </comment>
    <comment ref="Q70" authorId="0" shapeId="0" xr:uid="{00000000-0006-0000-0000-00000A000000}">
      <text>
        <r>
          <rPr>
            <b/>
            <sz val="9"/>
            <color indexed="81"/>
            <rFont val="Tahoma"/>
            <family val="2"/>
          </rPr>
          <t>Resubmitted 12. March 2018</t>
        </r>
      </text>
    </comment>
    <comment ref="AH70" authorId="0" shapeId="0" xr:uid="{00000000-0006-0000-0000-00000B000000}">
      <text>
        <r>
          <rPr>
            <b/>
            <sz val="9"/>
            <color indexed="81"/>
            <rFont val="Tahoma"/>
            <family val="2"/>
          </rPr>
          <t xml:space="preserve">Emissions reduction calculation do not include reductions from avoided electricity consumption from the grid and other non-renewable resources
</t>
        </r>
      </text>
    </comment>
    <comment ref="W77" authorId="0" shapeId="0" xr:uid="{00000000-0006-0000-0000-00000C000000}">
      <text>
        <r>
          <rPr>
            <b/>
            <sz val="9"/>
            <color indexed="81"/>
            <rFont val="Tahoma"/>
            <family val="2"/>
          </rPr>
          <t>All the money is from S-62</t>
        </r>
      </text>
    </comment>
    <comment ref="Q78" authorId="0" shapeId="0" xr:uid="{00000000-0006-0000-0000-00000D000000}">
      <text>
        <r>
          <rPr>
            <b/>
            <sz val="9"/>
            <color indexed="81"/>
            <rFont val="Tahoma"/>
            <family val="2"/>
          </rPr>
          <t>Resubmitted 18-Sept-15</t>
        </r>
      </text>
    </comment>
    <comment ref="AH90" authorId="0" shapeId="0" xr:uid="{00000000-0006-0000-0000-00000E000000}">
      <text>
        <r>
          <rPr>
            <b/>
            <sz val="9"/>
            <color indexed="81"/>
            <rFont val="Tahoma"/>
            <family val="2"/>
          </rPr>
          <t>This value is for 2030</t>
        </r>
      </text>
    </comment>
    <comment ref="W103" authorId="0" shapeId="0" xr:uid="{00000000-0006-0000-0000-00000F000000}">
      <text>
        <r>
          <rPr>
            <b/>
            <sz val="9"/>
            <color indexed="81"/>
            <rFont val="Tahoma"/>
            <family val="2"/>
          </rPr>
          <t>This is the value on the NAMA-Facility web site.
At the UNFCCC registry it is only 0.11 MEuro</t>
        </r>
      </text>
    </comment>
    <comment ref="Q107" authorId="0" shapeId="0" xr:uid="{00000000-0006-0000-0000-000010000000}">
      <text>
        <r>
          <rPr>
            <b/>
            <sz val="9"/>
            <color indexed="81"/>
            <rFont val="Tahoma"/>
            <family val="2"/>
          </rPr>
          <t>Resubmitted 6. March 2018</t>
        </r>
      </text>
    </comment>
    <comment ref="AH115" authorId="0" shapeId="0" xr:uid="{00000000-0006-0000-0000-000011000000}">
      <text>
        <r>
          <rPr>
            <b/>
            <sz val="9"/>
            <color indexed="81"/>
            <rFont val="Tahoma"/>
            <family val="2"/>
          </rPr>
          <t>From table 3 in the INDC from Uganda</t>
        </r>
      </text>
    </comment>
    <comment ref="X122" authorId="0" shapeId="0" xr:uid="{00000000-0006-0000-0000-000012000000}">
      <text>
        <r>
          <rPr>
            <b/>
            <sz val="9"/>
            <color indexed="81"/>
            <rFont val="Tahoma"/>
            <family val="2"/>
          </rPr>
          <t xml:space="preserve">Will be defined
</t>
        </r>
      </text>
    </comment>
    <comment ref="D124" authorId="0" shapeId="0" xr:uid="{00000000-0006-0000-0000-000013000000}">
      <text>
        <r>
          <rPr>
            <b/>
            <sz val="9"/>
            <color indexed="81"/>
            <rFont val="Tahoma"/>
            <family val="2"/>
          </rPr>
          <t>Panela is unrefined whole cane sugar</t>
        </r>
      </text>
    </comment>
    <comment ref="AF128" authorId="0" shapeId="0" xr:uid="{00000000-0006-0000-0000-000014000000}">
      <text>
        <r>
          <rPr>
            <b/>
            <sz val="9"/>
            <color indexed="81"/>
            <rFont val="Tahoma"/>
            <family val="2"/>
          </rPr>
          <t>This includes Technological support</t>
        </r>
      </text>
    </comment>
    <comment ref="AH151" authorId="0" shapeId="0" xr:uid="{00000000-0006-0000-0000-000015000000}">
      <text>
        <r>
          <rPr>
            <b/>
            <sz val="9"/>
            <color indexed="81"/>
            <rFont val="Tahoma"/>
            <family val="2"/>
          </rPr>
          <t>66.6 MtCO2 reduction in  in 2030</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Jørgen Villy Fenhann</author>
  </authors>
  <commentList>
    <comment ref="O6" authorId="0" shapeId="0" xr:uid="{00000000-0006-0000-0100-000001000000}">
      <text>
        <r>
          <rPr>
            <b/>
            <sz val="9"/>
            <color indexed="81"/>
            <rFont val="Tahoma"/>
            <family val="2"/>
          </rPr>
          <t>Some support is only liste on www.nama-facility.org
NS-?? from Peru, Tajikistan, Burkina Faso, China an Kenya are not submitted yet.</t>
        </r>
      </text>
    </comment>
    <comment ref="Q8" authorId="0" shapeId="0" xr:uid="{00000000-0006-0000-0100-000002000000}">
      <text>
        <r>
          <rPr>
            <b/>
            <sz val="9"/>
            <color indexed="81"/>
            <rFont val="Tahoma"/>
            <family val="2"/>
          </rPr>
          <t xml:space="preserve">The LAIF Board has approved 20 operations in the Latin America Region, granting a total LAIF contribution of over EUR 160 million (end 2012).  19 of these are regarded as having a particularly positive impact on the environment and therefore come under the EU’s Climate Change Window.
</t>
        </r>
      </text>
    </comment>
    <comment ref="Q9" authorId="0" shapeId="0" xr:uid="{00000000-0006-0000-0100-000003000000}">
      <text>
        <r>
          <rPr>
            <b/>
            <sz val="9"/>
            <color indexed="81"/>
            <rFont val="Tahoma"/>
            <family val="2"/>
          </rPr>
          <t xml:space="preserve">Of 17 approved ITF grants in 2012, ten contributed to projects that support climate change mitigation and/or adaptation. At September 2013, the cumulative total of grant operations approved by the ITF stood at EUR 385 million.
</t>
        </r>
      </text>
    </comment>
    <comment ref="Q10" authorId="0" shapeId="0" xr:uid="{00000000-0006-0000-0100-000004000000}">
      <text>
        <r>
          <rPr>
            <b/>
            <sz val="9"/>
            <color indexed="81"/>
            <rFont val="Tahoma"/>
            <family val="2"/>
          </rPr>
          <t xml:space="preserve">66 projects have been supported in the region (end 2012), with a NIF contribution of EUR 590 million and a project value of over EUR 18.4 billion.
Out of the 66 projects supported so far by the NIF, nearly two thirds (41) were low-carbon and climate resilience projects and received NIF contributions worth €332 million (€98 million in the East and €234million in the South).
</t>
        </r>
      </text>
    </comment>
    <comment ref="R15" authorId="0" shapeId="0" xr:uid="{00000000-0006-0000-0100-000005000000}">
      <text>
        <r>
          <rPr>
            <b/>
            <sz val="9"/>
            <color indexed="81"/>
            <rFont val="Tahoma"/>
            <family val="2"/>
          </rPr>
          <t xml:space="preserve">For the 6 countries: Dominican Republic, Honduras, Ecuador, Peru, Chile and Uruguay.
</t>
        </r>
      </text>
    </comment>
    <comment ref="O22" authorId="0" shapeId="0" xr:uid="{00000000-0006-0000-0100-000006000000}">
      <text>
        <r>
          <rPr>
            <b/>
            <sz val="9"/>
            <color indexed="81"/>
            <rFont val="Tahoma"/>
            <family val="2"/>
          </rPr>
          <t>Some support is only liste on www.nama-facility.org
NS-?? from Peru, Tajikistan, Burkina Faso, China an Kenya are not submitted yet.</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Jørgen Villy Fenhann</author>
  </authors>
  <commentList>
    <comment ref="F24" authorId="0" shapeId="0" xr:uid="{00000000-0006-0000-0200-000001000000}">
      <text>
        <r>
          <rPr>
            <b/>
            <sz val="9"/>
            <color indexed="81"/>
            <rFont val="Tahoma"/>
            <family val="2"/>
          </rPr>
          <t>Total requested support+other local and international support</t>
        </r>
      </text>
    </comment>
    <comment ref="G24" authorId="0" shapeId="0" xr:uid="{00000000-0006-0000-0200-000002000000}">
      <text>
        <r>
          <rPr>
            <b/>
            <sz val="9"/>
            <color indexed="81"/>
            <rFont val="Tahoma"/>
            <family val="2"/>
          </rPr>
          <t>Requested financial+technical+capacity building suppor</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Jacob Ipsen Hansen</author>
  </authors>
  <commentList>
    <comment ref="I5" authorId="0" shapeId="0" xr:uid="{00000000-0006-0000-0400-000001000000}">
      <text>
        <r>
          <rPr>
            <b/>
            <sz val="8"/>
            <color indexed="81"/>
            <rFont val="Tahoma"/>
            <family val="2"/>
          </rPr>
          <t>Jacob Ipsen Hansen:</t>
        </r>
        <r>
          <rPr>
            <sz val="8"/>
            <color indexed="81"/>
            <rFont val="Tahoma"/>
            <family val="2"/>
          </rPr>
          <t xml:space="preserve">
Not available on the unfccc.int</t>
        </r>
      </text>
    </comment>
  </commentList>
</comments>
</file>

<file path=xl/sharedStrings.xml><?xml version="1.0" encoding="utf-8"?>
<sst xmlns="http://schemas.openxmlformats.org/spreadsheetml/2006/main" count="4666" uniqueCount="2494">
  <si>
    <t>ID</t>
  </si>
  <si>
    <t>Title</t>
  </si>
  <si>
    <t>Region</t>
  </si>
  <si>
    <t>Sub-region</t>
  </si>
  <si>
    <t>Type</t>
  </si>
  <si>
    <t>Brazil</t>
  </si>
  <si>
    <t>NAMA0001</t>
  </si>
  <si>
    <t>External support</t>
  </si>
  <si>
    <t>NAMA0002</t>
  </si>
  <si>
    <t>NAMA0003</t>
  </si>
  <si>
    <t>Implementing Agency</t>
  </si>
  <si>
    <t>Reference</t>
  </si>
  <si>
    <t>Ha</t>
  </si>
  <si>
    <t>Sector</t>
  </si>
  <si>
    <t>Afghanistan</t>
  </si>
  <si>
    <t>Copenhagen Accord</t>
  </si>
  <si>
    <t>All</t>
  </si>
  <si>
    <t>NAMA0005</t>
  </si>
  <si>
    <t>NAMA0006</t>
  </si>
  <si>
    <t>NAMA0007</t>
  </si>
  <si>
    <t>NAMA0008</t>
  </si>
  <si>
    <t>NAMA0009</t>
  </si>
  <si>
    <t>NAMA0010</t>
  </si>
  <si>
    <t>NAMA0011</t>
  </si>
  <si>
    <t>NAMA0012</t>
  </si>
  <si>
    <t>NAMA0013</t>
  </si>
  <si>
    <t>Algeria</t>
  </si>
  <si>
    <t>Renewable energy</t>
  </si>
  <si>
    <t>Antigua and Barbuda</t>
  </si>
  <si>
    <t>GHG emission reduction of 25% below 1990 levels by 2020</t>
  </si>
  <si>
    <t>Armenia</t>
  </si>
  <si>
    <t>Benin</t>
  </si>
  <si>
    <t>Bhutan</t>
  </si>
  <si>
    <t>Botswana</t>
  </si>
  <si>
    <t>NAMA0014</t>
  </si>
  <si>
    <t>NAMA0015</t>
  </si>
  <si>
    <t>NAMA0016</t>
  </si>
  <si>
    <t>NAMA0017</t>
  </si>
  <si>
    <t>NAMA0018</t>
  </si>
  <si>
    <t>NAMA0019</t>
  </si>
  <si>
    <t>GHG intensity target</t>
  </si>
  <si>
    <t>GHG emission below BAU level</t>
  </si>
  <si>
    <t>Efforts to remain GHG neutral</t>
  </si>
  <si>
    <t>Cambodia</t>
  </si>
  <si>
    <t>Central African Republic</t>
  </si>
  <si>
    <t>Chad</t>
  </si>
  <si>
    <t>Chile</t>
  </si>
  <si>
    <t>NAMA0020</t>
  </si>
  <si>
    <t>NAMA0021</t>
  </si>
  <si>
    <t>NAMA0022</t>
  </si>
  <si>
    <t>NAMA0023</t>
  </si>
  <si>
    <t>NAMA0024</t>
  </si>
  <si>
    <t>NAMA0025</t>
  </si>
  <si>
    <t>China</t>
  </si>
  <si>
    <t>Reduce CO2 emissions per unit of GDP by 40–45% by 2020 compared to 2005</t>
  </si>
  <si>
    <t>Colombia</t>
  </si>
  <si>
    <t>Renewable energy target</t>
  </si>
  <si>
    <t>GHG mitigation target</t>
  </si>
  <si>
    <t>Costa Rica</t>
  </si>
  <si>
    <t>Ethiopia</t>
  </si>
  <si>
    <t>Eritrea</t>
  </si>
  <si>
    <t>Gabon</t>
  </si>
  <si>
    <t>Georgia</t>
  </si>
  <si>
    <t>Ghana</t>
  </si>
  <si>
    <t>India</t>
  </si>
  <si>
    <t>Indonesia</t>
  </si>
  <si>
    <t>Israel</t>
  </si>
  <si>
    <t>Jordan</t>
  </si>
  <si>
    <t>Madagascar</t>
  </si>
  <si>
    <t>Maldives</t>
  </si>
  <si>
    <t>Marshall Islands</t>
  </si>
  <si>
    <t>Mauritius</t>
  </si>
  <si>
    <t>Mauritania</t>
  </si>
  <si>
    <t>Mexico</t>
  </si>
  <si>
    <t>Mongolia</t>
  </si>
  <si>
    <t>Morocco</t>
  </si>
  <si>
    <t>Papua New Guinea</t>
  </si>
  <si>
    <t>Peru</t>
  </si>
  <si>
    <t>South Korea</t>
  </si>
  <si>
    <t>Moldova</t>
  </si>
  <si>
    <t>San Marino</t>
  </si>
  <si>
    <t>Sierra Leone</t>
  </si>
  <si>
    <t>Singapore</t>
  </si>
  <si>
    <t>South Africa</t>
  </si>
  <si>
    <t>Tajikistan</t>
  </si>
  <si>
    <t>Macedonia</t>
  </si>
  <si>
    <t>Togo</t>
  </si>
  <si>
    <t>Tunisia</t>
  </si>
  <si>
    <t>GHG reduction of 30% below its BAU emissions in 2020</t>
  </si>
  <si>
    <t>Higher efficiency coal power</t>
  </si>
  <si>
    <t>Afforestation</t>
  </si>
  <si>
    <t>New natural gas plant</t>
  </si>
  <si>
    <t>Geothermal</t>
  </si>
  <si>
    <t>Solar PV</t>
  </si>
  <si>
    <t>Solar</t>
  </si>
  <si>
    <t>Wind</t>
  </si>
  <si>
    <t>Reduce CO2 emissions (except agriculture) per unit of GDP by 20–25% by 2020 compared to 2005</t>
  </si>
  <si>
    <t>Long-term  transformational effort to achieve carbon neutrality as a country by 2020</t>
  </si>
  <si>
    <t>GHG emissions reduction by 26 % by 2020</t>
  </si>
  <si>
    <t>GHG reduction of 40% below 2009 level</t>
  </si>
  <si>
    <t>GHG reduction of 20% below its BAU emissions in 2020</t>
  </si>
  <si>
    <t>Copenhagen Accord, chapeau</t>
  </si>
  <si>
    <t>Middle-East</t>
  </si>
  <si>
    <t>North Africa</t>
  </si>
  <si>
    <t>Iranian Plateau</t>
  </si>
  <si>
    <t>Africa</t>
  </si>
  <si>
    <t>Latin America</t>
  </si>
  <si>
    <t>Caribbean</t>
  </si>
  <si>
    <t>South America</t>
  </si>
  <si>
    <t>Europe &amp; Central Asia</t>
  </si>
  <si>
    <t>Central Asia</t>
  </si>
  <si>
    <t>West Africa</t>
  </si>
  <si>
    <t>Asia &amp; Pacific</t>
  </si>
  <si>
    <t>Southern Asia</t>
  </si>
  <si>
    <t>Southern Africa</t>
  </si>
  <si>
    <t>Southeast Asia</t>
  </si>
  <si>
    <t>Central Africa</t>
  </si>
  <si>
    <t>East Asia</t>
  </si>
  <si>
    <t>Cameroon</t>
  </si>
  <si>
    <t>77% of total electric capacity installed will be from renewable sources and 20 % of fuel consumption from biofuels by 2020.</t>
  </si>
  <si>
    <t>Forest</t>
  </si>
  <si>
    <t>Central America</t>
  </si>
  <si>
    <t>East Africa</t>
  </si>
  <si>
    <t>Pacific</t>
  </si>
  <si>
    <t>North America</t>
  </si>
  <si>
    <t>Europe</t>
  </si>
  <si>
    <t xml:space="preserve">Renewable energy represents at least 33% of total energy used and zero net deforestation by 2020 </t>
  </si>
  <si>
    <t>GHG emissions reduction by 35 % compared with the base year 1990, by 2020</t>
  </si>
  <si>
    <t>GHG emissions reduction by 30 % below BAU by 2020</t>
  </si>
  <si>
    <t>GHG emissions reduction by 16 % below BAU by 2020</t>
  </si>
  <si>
    <t>GHG emissions reduction by 34 % below BAU by 2020</t>
  </si>
  <si>
    <t>GHG reduction of 36.1 % - 38.9 % below its BAU emissions in 2020</t>
  </si>
  <si>
    <t>Full time hours</t>
  </si>
  <si>
    <t>Zambia</t>
  </si>
  <si>
    <t>Albania</t>
  </si>
  <si>
    <t>Angola</t>
  </si>
  <si>
    <t>Bahamas</t>
  </si>
  <si>
    <t>Bangladesh</t>
  </si>
  <si>
    <t>Barbados</t>
  </si>
  <si>
    <t>Belize</t>
  </si>
  <si>
    <t>Bosnia and Herzegovina</t>
  </si>
  <si>
    <t>Burkina Faso</t>
  </si>
  <si>
    <t>Burundi</t>
  </si>
  <si>
    <t>Cape Verde</t>
  </si>
  <si>
    <t>Congo DR</t>
  </si>
  <si>
    <t>Djibouti</t>
  </si>
  <si>
    <t>Fiji</t>
  </si>
  <si>
    <t>Gambia</t>
  </si>
  <si>
    <t>Guinea</t>
  </si>
  <si>
    <t>Guinea-Bissau</t>
  </si>
  <si>
    <t>Guyana</t>
  </si>
  <si>
    <t>Jamaica</t>
  </si>
  <si>
    <t>Kenya</t>
  </si>
  <si>
    <t>Kiribati</t>
  </si>
  <si>
    <t>Lao PDR</t>
  </si>
  <si>
    <t>Lesotho</t>
  </si>
  <si>
    <t>Liberia</t>
  </si>
  <si>
    <t>Malawi</t>
  </si>
  <si>
    <t>Mali</t>
  </si>
  <si>
    <t>Montenegro</t>
  </si>
  <si>
    <t>Mozambique</t>
  </si>
  <si>
    <t>Namibia</t>
  </si>
  <si>
    <t>Nepal</t>
  </si>
  <si>
    <t>Nigeria</t>
  </si>
  <si>
    <t>Palau</t>
  </si>
  <si>
    <t>Panama</t>
  </si>
  <si>
    <t>Rwanda</t>
  </si>
  <si>
    <t>Saint Lucia</t>
  </si>
  <si>
    <t>Samoa</t>
  </si>
  <si>
    <t>Senegal</t>
  </si>
  <si>
    <t>Serbia</t>
  </si>
  <si>
    <t>Swaziland</t>
  </si>
  <si>
    <t>Timor-Leste</t>
  </si>
  <si>
    <t>Tonga</t>
  </si>
  <si>
    <t>Trinidad and Tobago</t>
  </si>
  <si>
    <t>Uganda</t>
  </si>
  <si>
    <t>Uruguay</t>
  </si>
  <si>
    <t>United Arab Emirates</t>
  </si>
  <si>
    <t>Tanzania</t>
  </si>
  <si>
    <t>Vietnam</t>
  </si>
  <si>
    <t>Brunei</t>
  </si>
  <si>
    <t>Comoros</t>
  </si>
  <si>
    <t>Arabian Peninsula</t>
  </si>
  <si>
    <t>GHG emission reduction of 28% below 1990 levels by 2020</t>
  </si>
  <si>
    <t>Country</t>
  </si>
  <si>
    <t>MRV indicators</t>
  </si>
  <si>
    <t>Local financial support from</t>
  </si>
  <si>
    <t>Sustainable forest management (REDD)</t>
  </si>
  <si>
    <t>Single project activities (CDM)</t>
  </si>
  <si>
    <t>Agriculture and Forests</t>
  </si>
  <si>
    <t>Renewable Energy</t>
  </si>
  <si>
    <t>Level of implementation</t>
  </si>
  <si>
    <t>Under implementation</t>
  </si>
  <si>
    <t>Kazakhstan</t>
  </si>
  <si>
    <t>Cyprus</t>
  </si>
  <si>
    <t>GHG strategy/inventory</t>
  </si>
  <si>
    <t>Single project activities (CDM)+Sustainable forest management (REDD)</t>
  </si>
  <si>
    <t>Fertile Crescent</t>
  </si>
  <si>
    <t>Guatemala</t>
  </si>
  <si>
    <t>Honduras</t>
  </si>
  <si>
    <t>* "Copenhagen Accord" refers to countries submissions of information and their association with the Accord relating to Appendix II of the Copenhagen Accord</t>
  </si>
  <si>
    <t>** "Copenhagen Accord, chapeau" refers to countries submissions of their association with the Accord in relation to the listing in the chapeau of the Copenhagen Accord</t>
  </si>
  <si>
    <t>GHG intensity target+Enhancing forest carbon sinks</t>
  </si>
  <si>
    <t>GHG strategy/inventory+Single project activities (CDM)</t>
  </si>
  <si>
    <t>GHG strategy/inventory+Sustainable forest management (REDD)</t>
  </si>
  <si>
    <t>Single project activities+Sustainable forest management (REDD)</t>
  </si>
  <si>
    <t>GHG strategy/inventory+Promotion</t>
  </si>
  <si>
    <t>Sustainable forest management (REDD)+Single project activities (CDM)</t>
  </si>
  <si>
    <t>GHG strategy/inventory+Sustainable forest management (REDD)+Promotion</t>
  </si>
  <si>
    <t>Enhancing forest carbon sinks+Single project activities (CDM)</t>
  </si>
  <si>
    <t>Renewable energy target+Sustainable forest management (REDD)</t>
  </si>
  <si>
    <t>Single project activities (CDM)+Enhancing forest carbon sinks</t>
  </si>
  <si>
    <t>n/a</t>
  </si>
  <si>
    <t>Agriculture and Forests+Waste+Conventional Power Production+Energy consumption</t>
  </si>
  <si>
    <t>Transport+Agriculture and Forests+Waste</t>
  </si>
  <si>
    <t>Public transportation+Forests+Solid waste</t>
  </si>
  <si>
    <t>Efficiency improvements+Waste+Alternative fuels</t>
  </si>
  <si>
    <t>Agriculture and Forests+Waste+Renewable energy+Transport+Conventional Power Production</t>
  </si>
  <si>
    <t>Forest+Buildings+Hydro+Wind</t>
  </si>
  <si>
    <t>Agriculture and Forests+Renewable energy+Energy consumption</t>
  </si>
  <si>
    <t>Agriculture and Forests+Renewable energy+Conventional power production</t>
  </si>
  <si>
    <t>Agriculture and Forests+Transport+Waste+Renewable energy+Industrial Production Processes</t>
  </si>
  <si>
    <t>Transport+Renewable energy+Agriculture and Forests+Waste</t>
  </si>
  <si>
    <t>Agriculture and Forests+Renewable energy+Transport+Energy consumption</t>
  </si>
  <si>
    <t>Agriculture and Forests+Energy consumption</t>
  </si>
  <si>
    <t>Renewable energy+Transport+Agriculture and Forests+Waste</t>
  </si>
  <si>
    <t>Agriculture and Forests+Renewable energy+Waste+Transport</t>
  </si>
  <si>
    <t>Many</t>
  </si>
  <si>
    <t>Agriculture and forests+Renewable energy+Wate+Transport</t>
  </si>
  <si>
    <t>Forests+Solid waste+Liquid waste</t>
  </si>
  <si>
    <t>Renewable energy+Energy consumption</t>
  </si>
  <si>
    <t>Single project activities (CDM)+Regulation</t>
  </si>
  <si>
    <t>Transport+Waste+Energy Consumption+Conventional power production+Agriculture and forests</t>
  </si>
  <si>
    <t>Agriculture and forests+Energy consumption+Renewable energy</t>
  </si>
  <si>
    <t>Forests+Public transport+Various household installation+Biomass+Solar</t>
  </si>
  <si>
    <t>Agriculture and forests+Renewable energy+Waste</t>
  </si>
  <si>
    <t>Energy efficiency target+Promotion</t>
  </si>
  <si>
    <t>Agriculture and forests+Renewable energy+Waste+Transport+Energy consumption</t>
  </si>
  <si>
    <t>Energy consumption+Renewable energy</t>
  </si>
  <si>
    <t>Forests+Solar+Wind+CO2 Capture and recycling</t>
  </si>
  <si>
    <t>Agriculture and Forests+Renewable energy</t>
  </si>
  <si>
    <t>Agriculture and Forests+Transport+Renewable energy+Conventional Power Production+Energy consumption</t>
  </si>
  <si>
    <t>Forets+Solar+Biomass+Various household product</t>
  </si>
  <si>
    <t>Forests+Fuels production+Hydro+Biomass+Alternative fuels</t>
  </si>
  <si>
    <t>Forests+Hydro+Solar+Biomass</t>
  </si>
  <si>
    <t>n.a.</t>
  </si>
  <si>
    <t>Congo</t>
  </si>
  <si>
    <t>Côte d'Ivoire</t>
  </si>
  <si>
    <t>unfccc.int/cooperation_support/nama/items/6945.php</t>
  </si>
  <si>
    <t>EE &amp; Renewable energy</t>
  </si>
  <si>
    <t>EE+Solar+Wind+Hydro</t>
  </si>
  <si>
    <t>A list of 14 activities</t>
  </si>
  <si>
    <t>Afforestation+Reforestation</t>
  </si>
  <si>
    <t>A list of 10 activities</t>
  </si>
  <si>
    <t>NAMA in the Forestry sector</t>
  </si>
  <si>
    <t>Ethiopian Railways Corporation</t>
  </si>
  <si>
    <t>Rail: electricication</t>
  </si>
  <si>
    <t>Cargo transport</t>
  </si>
  <si>
    <t>50% of road cargo replaced in 8 routes</t>
  </si>
  <si>
    <t>Interurban Electric Rail NAMA</t>
  </si>
  <si>
    <r>
      <rPr>
        <sz val="10"/>
        <rFont val="Arial"/>
        <family val="2"/>
      </rPr>
      <t xml:space="preserve">*** These official NAMAs is submitted to the NAMA-registry Prototype at </t>
    </r>
    <r>
      <rPr>
        <u/>
        <sz val="10"/>
        <color theme="10"/>
        <rFont val="Arial"/>
        <family val="2"/>
      </rPr>
      <t>unfccc.int/cooperation_support/nama/items/6945.php</t>
    </r>
    <r>
      <rPr>
        <sz val="10"/>
        <rFont val="Arial"/>
        <family val="2"/>
      </rPr>
      <t xml:space="preserve"> where you can also submit your NAMA to the UNFCCC</t>
    </r>
  </si>
  <si>
    <t>unfccc.int/resource/docs/2012/awglca15/eng/misc02.pdf</t>
  </si>
  <si>
    <t>Egypt</t>
  </si>
  <si>
    <t>Agriculture and Forests+Waste+Transport+Conventional power production</t>
  </si>
  <si>
    <t>Afforestation+Mode shift: Road to rail+Fuel switch+Lighting+Water pumping+Street lighting</t>
  </si>
  <si>
    <t>Agriculture and forests+Waste+Conventional Power Production+Energy consumption+Industry+Renewable Energy</t>
  </si>
  <si>
    <t>Landfills+Composting+Wastewater+Agricultural waste+Charcoal production+Stoves+Afforestation+Reforestation+Lighting+Efficiency improvements+Cement</t>
  </si>
  <si>
    <t>Regulation+Promotion+R&amp;D</t>
  </si>
  <si>
    <t>Forest+Fuels production+Hydro</t>
  </si>
  <si>
    <t>Clean Production Agreements in Chile</t>
  </si>
  <si>
    <t>Date of submission</t>
  </si>
  <si>
    <t>unfccc.int/cooperation_support/nama/items/6949.php</t>
  </si>
  <si>
    <t>Ongoing</t>
  </si>
  <si>
    <t xml:space="preserve"> 74 CPA signed + 10 new/yr until 2020</t>
  </si>
  <si>
    <t>NCCP</t>
  </si>
  <si>
    <t>Sustainable production with low-emission technologies in agriculture and agroindustry production chains.</t>
  </si>
  <si>
    <t>Sustainable Housing Programme</t>
  </si>
  <si>
    <t>High Integration Program of Wind Energy</t>
  </si>
  <si>
    <t>Implementation of a National Forestry and Climate Change Strategy, including the development and implementation of a Platform for the Generation and trading of Forest Carbon Credits.</t>
  </si>
  <si>
    <t>First introduction of Photovoltaic Solar Energy in the national electrical grid.</t>
  </si>
  <si>
    <t>LNG Terminal with regasification capacity of 10.000.000m3/d of natural gas with possible expansion to 15.000.000m3/d</t>
  </si>
  <si>
    <t>Promotion of renewable energy participation in the Uruguayan primary energy mix</t>
  </si>
  <si>
    <t>LNG terminal</t>
  </si>
  <si>
    <t>Public Power Utitlity UTE</t>
  </si>
  <si>
    <t>Ministry of Industry,Energy and Mining</t>
  </si>
  <si>
    <t>National Statistics</t>
  </si>
  <si>
    <t xml:space="preserve">Biofuels, Biomass, Wind, Solar </t>
  </si>
  <si>
    <t>55% of energy supply is from renewables in 2015</t>
  </si>
  <si>
    <t>External support for preparation</t>
  </si>
  <si>
    <t>Seeking Support</t>
  </si>
  <si>
    <t>External support for implementation</t>
  </si>
  <si>
    <t>200 MW of solar in 2020</t>
  </si>
  <si>
    <t>unfccc.int/cooperation_support/nama/items/6982.php</t>
  </si>
  <si>
    <t>National Forestry Corporation (CONAF) under Ministry of Agriculture</t>
  </si>
  <si>
    <t>Government</t>
  </si>
  <si>
    <t>Amount of Local finance MUS$</t>
  </si>
  <si>
    <t>WB &amp; Swiss Government</t>
  </si>
  <si>
    <t>Being developed together with REDD+ &amp; FCPF</t>
  </si>
  <si>
    <t>Biomass energy</t>
  </si>
  <si>
    <t>Laboratory research for target sectors</t>
  </si>
  <si>
    <t>The other activities finance by GEF</t>
  </si>
  <si>
    <t>?</t>
  </si>
  <si>
    <t>Ministry of Housing, Land Planning and Environment (MVOTMA)</t>
  </si>
  <si>
    <t>SD indicators</t>
  </si>
  <si>
    <t>Target: Lower income families</t>
  </si>
  <si>
    <t>EE lighting+Solar water heaters</t>
  </si>
  <si>
    <t>Other International financial support from</t>
  </si>
  <si>
    <t>20% of electricity from wind in 2015</t>
  </si>
  <si>
    <t>Type of action</t>
  </si>
  <si>
    <t>Technical description</t>
  </si>
  <si>
    <t>Sub-type</t>
  </si>
  <si>
    <t>NAMA category</t>
  </si>
  <si>
    <t>For recognition</t>
  </si>
  <si>
    <t>Requested financial support MUS$</t>
  </si>
  <si>
    <t>Requested Capacity Building support MUS$</t>
  </si>
  <si>
    <t>Requested technical support MUS$</t>
  </si>
  <si>
    <t>Cook Islands</t>
  </si>
  <si>
    <t>Supporting Implementation of 100% Renewable Electricity by 2020</t>
  </si>
  <si>
    <t>Renewable Energy Development Division (REDD), Office of the Prime Minister</t>
  </si>
  <si>
    <t>Bioenergy, Wind, Solar + EE</t>
  </si>
  <si>
    <t>http://cook-islands.gov.ck/docs/renewableenergy/Cook%20Islands%20Renewable%20Energy%20Chart%20Final%20April%202012.pdf</t>
  </si>
  <si>
    <t>100% renewable electricity by 2020 with a phased-in implementation plan that achieves 50% by 2015</t>
  </si>
  <si>
    <t>A renewable energy technology training programme and a new regulatory frameworks for private sector investment in renewable electricity systems.</t>
  </si>
  <si>
    <t>% electricity from diesel replaced by renewables</t>
  </si>
  <si>
    <t>Local air pollution reduction, leaks of diesel from storage</t>
  </si>
  <si>
    <t>Expanding self‐supply renewable energy systems (SSRES) in Chile</t>
  </si>
  <si>
    <t>National Program for Catalyzing Industrial and Commercial Organic Waste Management in Chile</t>
  </si>
  <si>
    <t>Ministry of Transport</t>
  </si>
  <si>
    <t>Transport</t>
  </si>
  <si>
    <t>Public transport, traffic management, EE, alternative fuels, non-motorised etc</t>
  </si>
  <si>
    <t>Design of local plans ongoing</t>
  </si>
  <si>
    <t>ICI of German BMU</t>
  </si>
  <si>
    <t>Urban Transport emissions 15% below BAU in 2020 in the pilot cities</t>
  </si>
  <si>
    <t>Number of years for completion</t>
  </si>
  <si>
    <t>Air-quality, Accessibility, Equity, Road safety, City livability</t>
  </si>
  <si>
    <t>Renewable Energy Centre (part of CORFO)</t>
  </si>
  <si>
    <t>Emission reduction worksheets for each unit based on metering</t>
  </si>
  <si>
    <t>Jobs, private sector leveraging</t>
  </si>
  <si>
    <t>Renewable energy in Industry, Agriculture and Commercial</t>
  </si>
  <si>
    <t>Bioenergy, Hydro, Wind, Geothermal, Solar &amp; Tidal</t>
  </si>
  <si>
    <t>Contribute of Chiles pledge of 20% below 2020 emissions</t>
  </si>
  <si>
    <t>NAMA still under design</t>
  </si>
  <si>
    <t>Ministry of Environment</t>
  </si>
  <si>
    <t>Wine, fruits, crops, salmon, poultry, pigs, pruning, food markets.</t>
  </si>
  <si>
    <t>Five organic waste management facilities to be installed</t>
  </si>
  <si>
    <t>Canadian Government support for NAMA preparation</t>
  </si>
  <si>
    <t>Dominican Republic</t>
  </si>
  <si>
    <t>Shrub clippings &amp; separated waste</t>
  </si>
  <si>
    <t>Waste management and biomass energy in the tourism sector</t>
  </si>
  <si>
    <t>Province/State</t>
  </si>
  <si>
    <t>Bavaro-Punta Cana region</t>
  </si>
  <si>
    <t>National Council for Climate Change and Clean Development Mechanism (NCCCDM)</t>
  </si>
  <si>
    <t>Hotels and utilities</t>
  </si>
  <si>
    <t>A feasibility study is already done</t>
  </si>
  <si>
    <t>Biogas/ton waste, energy/ton waste</t>
  </si>
  <si>
    <t>Jobs created, critical environment episodes</t>
  </si>
  <si>
    <t>Energy &amp; Emission reduction goal</t>
  </si>
  <si>
    <t>Low Carbon Climate Resilient Development Strategy</t>
  </si>
  <si>
    <t>Implementation of the Low Carbon Climate Resilient Development Strategy</t>
  </si>
  <si>
    <t>Ministry of Environment, Natural Resources, Physical Planning and Fisheries</t>
  </si>
  <si>
    <t>Intention to have a 120 MW geothermal plant with cables to Guadeloupe and Martinique.</t>
  </si>
  <si>
    <t>Attachment to NAMA: "Low-Carbon Climate-Resilient Development Strategy 2012-20"</t>
  </si>
  <si>
    <t>See attached Low Carbon, and GHG Mitigation Assessment reports</t>
  </si>
  <si>
    <t>Dominica</t>
  </si>
  <si>
    <t xml:space="preserve"> 8 priority NAMAs and 2 mitigation/adaptation projects described</t>
  </si>
  <si>
    <t>Renewables+EE+agriculture</t>
  </si>
  <si>
    <t>unfccc.int/files/focus/application/pdf/nama_foc_prop_gambia.pdf</t>
  </si>
  <si>
    <t>Solar+wind, EE stoves, rice, reforestation</t>
  </si>
  <si>
    <t>unfccc.int/files/focus/application/pdf/nama_foc_prop_guinee.pdf</t>
  </si>
  <si>
    <t>2 NAMAs described</t>
  </si>
  <si>
    <t>Decentalized solar &amp; hydro, Intensification of agriculture</t>
  </si>
  <si>
    <t>Multipurpose microdams, research in renewables, agrodorestry</t>
  </si>
  <si>
    <t>FCCC/AWGLCA/2012/MISC.2 - Malawi</t>
  </si>
  <si>
    <t>FCCC/AWGLCA/2012/MISC.2 - Swaziland</t>
  </si>
  <si>
    <t>Construction of New Energy Efficient Buildings Based on Energy Efficiency Regulation in Serbia</t>
  </si>
  <si>
    <t>New regulation of energy efficiency in buildings</t>
  </si>
  <si>
    <t>Ministry of Construction and Urbanism</t>
  </si>
  <si>
    <t>Regulation on Energy Efficiency in Buildings adopted August 2011 and cam into force September 2012</t>
  </si>
  <si>
    <t>Regulation into force in September 2012</t>
  </si>
  <si>
    <t>Jobcreation, awareness raising of EE</t>
  </si>
  <si>
    <t>Introduction of metering system and billing on the basis of measured consumption in district heating systems in Serbia</t>
  </si>
  <si>
    <t>EE Buildings</t>
  </si>
  <si>
    <t>New standards</t>
  </si>
  <si>
    <t>Introduction of meters</t>
  </si>
  <si>
    <t>Public Utility Company District Heating Plants of Belgrade and Business Association "Heating Serbia"</t>
  </si>
  <si>
    <t>Several pilot projects ongoing</t>
  </si>
  <si>
    <t>Valjevo</t>
  </si>
  <si>
    <t>Expansion of existing heating network in Valjevo</t>
  </si>
  <si>
    <t>Expansion of distrcit heating network</t>
  </si>
  <si>
    <t>Closing of 25 old boilers and individual furnaces in 94 residential buildings</t>
  </si>
  <si>
    <t>Energy distribution</t>
  </si>
  <si>
    <t>City of Valjero</t>
  </si>
  <si>
    <t>Local air pollution reduction, jobcreation</t>
  </si>
  <si>
    <t>New residential building &lt; 60 kWh/m2/yr, new non-residentila buildings &lt; 70 kWh/m27yr</t>
  </si>
  <si>
    <t>Technical documentation has been prepared</t>
  </si>
  <si>
    <t>Use of Solar energy for domestic hot water production</t>
  </si>
  <si>
    <t>5000 m2 collectors for 7000 householde supplying 2700 MWh</t>
  </si>
  <si>
    <t>Solar hot water</t>
  </si>
  <si>
    <t>Public Utility Company District Heating Plants of Belgrade</t>
  </si>
  <si>
    <t>Installation of solar water heaters in Belgrade</t>
  </si>
  <si>
    <t>Feasibility study completed in 2008</t>
  </si>
  <si>
    <t>Belgrade</t>
  </si>
  <si>
    <t>Jobcreation</t>
  </si>
  <si>
    <t>Energy sector development strategy of the Republic of Serbia by 2015</t>
  </si>
  <si>
    <t>Replacement and Construction of a New Natural Gas Cogeneration Plant CHP Novi Sad</t>
  </si>
  <si>
    <t>Fossil fuel switch</t>
  </si>
  <si>
    <t>Novi Sad</t>
  </si>
  <si>
    <t>Construction of new energy efficient natural gas- fired cogeneration plant</t>
  </si>
  <si>
    <t>450 MWe</t>
  </si>
  <si>
    <t>Public Enterprise Electric Power Industry of Serbia</t>
  </si>
  <si>
    <t>Feasibility study completed</t>
  </si>
  <si>
    <t>Folow DNA SD criterias</t>
  </si>
  <si>
    <t>www.merz.gov.rs/en</t>
  </si>
  <si>
    <t>Thermal Power Project with Capacity and Efficiency Increase II - TTP Nikola Tesla – Unit A3</t>
  </si>
  <si>
    <t>Restoration and modernization of a lignite thermal power plant with capacity increase of 30 MW</t>
  </si>
  <si>
    <t>EE supply side</t>
  </si>
  <si>
    <t>Idea designand feasibility study under development</t>
  </si>
  <si>
    <t>Obrenovac</t>
  </si>
  <si>
    <t>Thermal Power Project with Capacity and Efficiency Increase I - TTP Nikola Tesla – Unit B2</t>
  </si>
  <si>
    <t>Restoration and modernization of a lignite thermal power plant with capacity increase of 47 MW</t>
  </si>
  <si>
    <t>30 MWe</t>
  </si>
  <si>
    <t>47 MWe</t>
  </si>
  <si>
    <t>Construction of a Super-critical Lignite Power Plant TTP Kostolac B</t>
  </si>
  <si>
    <t>Kostalac</t>
  </si>
  <si>
    <t>Kostalac B (now 281 MW) expanded with new lignite unit of 600 MW</t>
  </si>
  <si>
    <t>New unit have efficiency of 40.8% compare to normal lignite of 33.5%</t>
  </si>
  <si>
    <t>Pre-feasibility study and General design completed</t>
  </si>
  <si>
    <t>Host country</t>
  </si>
  <si>
    <t>For preparation</t>
  </si>
  <si>
    <t>For implementation</t>
  </si>
  <si>
    <t>Middle East</t>
  </si>
  <si>
    <t>Total</t>
  </si>
  <si>
    <t>Least Developed Countries</t>
  </si>
  <si>
    <t>Submitted NAMAs</t>
  </si>
  <si>
    <t>EE demand side</t>
  </si>
  <si>
    <t>All sectors</t>
  </si>
  <si>
    <t>Agriculture</t>
  </si>
  <si>
    <t>Turism</t>
  </si>
  <si>
    <t>Sector or type</t>
  </si>
  <si>
    <t>EE buildings</t>
  </si>
  <si>
    <t>Number</t>
  </si>
  <si>
    <t>NAMA0004</t>
  </si>
  <si>
    <t>Submiss0001</t>
  </si>
  <si>
    <t>Submiss0002</t>
  </si>
  <si>
    <t>Submiss0003</t>
  </si>
  <si>
    <t>Submiss0005</t>
  </si>
  <si>
    <t>Submiss0006</t>
  </si>
  <si>
    <t>Submiss0007</t>
  </si>
  <si>
    <t>Submiss0008</t>
  </si>
  <si>
    <t>Submiss0009</t>
  </si>
  <si>
    <t>Submiss0010</t>
  </si>
  <si>
    <t>Submiss0011</t>
  </si>
  <si>
    <t>Submiss0012</t>
  </si>
  <si>
    <t>Submiss0013</t>
  </si>
  <si>
    <t>Submiss0014</t>
  </si>
  <si>
    <t>Submiss0015</t>
  </si>
  <si>
    <t>Submiss0016</t>
  </si>
  <si>
    <t>Submiss0017</t>
  </si>
  <si>
    <t>Submiss0018</t>
  </si>
  <si>
    <t>Submiss0019</t>
  </si>
  <si>
    <t>Submiss0020</t>
  </si>
  <si>
    <t>Submiss0021</t>
  </si>
  <si>
    <t>Submiss0022</t>
  </si>
  <si>
    <t>Submiss0023</t>
  </si>
  <si>
    <t>Submiss0024</t>
  </si>
  <si>
    <t>Submiss0025</t>
  </si>
  <si>
    <t>Submiss0026</t>
  </si>
  <si>
    <t>Submiss0027</t>
  </si>
  <si>
    <t>Submiss0028</t>
  </si>
  <si>
    <t>Submiss0029</t>
  </si>
  <si>
    <t>Submiss0030</t>
  </si>
  <si>
    <t>Submiss0031</t>
  </si>
  <si>
    <t>Submiss0032</t>
  </si>
  <si>
    <t>Submiss0033</t>
  </si>
  <si>
    <t>Submiss0034</t>
  </si>
  <si>
    <t>Submiss0035</t>
  </si>
  <si>
    <t>Submiss0036</t>
  </si>
  <si>
    <t>Submiss0037</t>
  </si>
  <si>
    <t>Submiss0038</t>
  </si>
  <si>
    <t>Submiss0039</t>
  </si>
  <si>
    <t>Submiss0040</t>
  </si>
  <si>
    <t>Submiss0041</t>
  </si>
  <si>
    <t>Submiss0042</t>
  </si>
  <si>
    <t>Submiss0043</t>
  </si>
  <si>
    <t>Submiss0044</t>
  </si>
  <si>
    <t>Submiss0045</t>
  </si>
  <si>
    <t>Submiss0046</t>
  </si>
  <si>
    <t>Submiss0047</t>
  </si>
  <si>
    <t>Submiss0048</t>
  </si>
  <si>
    <t>Submiss0049</t>
  </si>
  <si>
    <t>Submiss0050</t>
  </si>
  <si>
    <t>Submiss0051</t>
  </si>
  <si>
    <t>Submiss0052</t>
  </si>
  <si>
    <t>Submiss0053</t>
  </si>
  <si>
    <t>Submiss0054</t>
  </si>
  <si>
    <t>Submiss0055</t>
  </si>
  <si>
    <t>Submiss0056</t>
  </si>
  <si>
    <t>Submiss0057</t>
  </si>
  <si>
    <t>Submiss0058</t>
  </si>
  <si>
    <t>Submiss0059</t>
  </si>
  <si>
    <t>Submiss0060</t>
  </si>
  <si>
    <t>Submiss0061</t>
  </si>
  <si>
    <t>Submiss0063</t>
  </si>
  <si>
    <t>Submiss0064</t>
  </si>
  <si>
    <t>Submiss0066</t>
  </si>
  <si>
    <t>Submiss0067</t>
  </si>
  <si>
    <t>Submiss0068</t>
  </si>
  <si>
    <t>Submiss0069</t>
  </si>
  <si>
    <t>Submiss0070</t>
  </si>
  <si>
    <t>Submiss0071</t>
  </si>
  <si>
    <t>Submiss0072</t>
  </si>
  <si>
    <t>Submiss0073</t>
  </si>
  <si>
    <t>Submiss0074</t>
  </si>
  <si>
    <t>Submiss0075</t>
  </si>
  <si>
    <t>Submiss0076</t>
  </si>
  <si>
    <t>Submiss0078</t>
  </si>
  <si>
    <t>Submiss0079</t>
  </si>
  <si>
    <t>Submiss0080</t>
  </si>
  <si>
    <t>Submiss0081</t>
  </si>
  <si>
    <t>Submiss0082</t>
  </si>
  <si>
    <t>Submiss0083</t>
  </si>
  <si>
    <t>Submiss0084</t>
  </si>
  <si>
    <t>Submiss0085</t>
  </si>
  <si>
    <t>Submiss0086</t>
  </si>
  <si>
    <t>Submiss0087</t>
  </si>
  <si>
    <t>Submiss0088</t>
  </si>
  <si>
    <t>Submiss0089</t>
  </si>
  <si>
    <t>Submiss0090</t>
  </si>
  <si>
    <t>Submiss0091</t>
  </si>
  <si>
    <t>Submiss0092</t>
  </si>
  <si>
    <t>Submiss0093</t>
  </si>
  <si>
    <t>Submiss0094</t>
  </si>
  <si>
    <t>Submiss0095</t>
  </si>
  <si>
    <t>Submiss0096</t>
  </si>
  <si>
    <t>Submiss0097</t>
  </si>
  <si>
    <t>Submiss0098</t>
  </si>
  <si>
    <t>Submiss0099</t>
  </si>
  <si>
    <t>Submiss0100</t>
  </si>
  <si>
    <t>Submiss0101</t>
  </si>
  <si>
    <t>Submiss0102</t>
  </si>
  <si>
    <t>Submiss0103</t>
  </si>
  <si>
    <t>Submiss0104</t>
  </si>
  <si>
    <t>Submiss0105</t>
  </si>
  <si>
    <t>Submiss0106</t>
  </si>
  <si>
    <t>Submiss0107</t>
  </si>
  <si>
    <t>NAMA0026</t>
  </si>
  <si>
    <t>NAMA0027</t>
  </si>
  <si>
    <t>NAMA0028</t>
  </si>
  <si>
    <t>NAMA0029</t>
  </si>
  <si>
    <t>NAMA0030</t>
  </si>
  <si>
    <t>Energy Efficiency Improvements in Public Buildings: 23 schools and 26 hospitals – Serbian Energy Efficiency Project (SEEP)</t>
  </si>
  <si>
    <t>Introduction 1000 MW of small biomass boilers in Serbia</t>
  </si>
  <si>
    <t>Improvement of old residential buildings envelope (exterior doors, windows and thermal insulation) in Serbia</t>
  </si>
  <si>
    <t>Rehabilitation of arterial roads in Serbia</t>
  </si>
  <si>
    <t>Revitalization of the Existing Small Hydropower Plants and Construction of New Small Hydropower Plants (SHPPs)</t>
  </si>
  <si>
    <t>EE Service</t>
  </si>
  <si>
    <t>Ministry of Energy, Development and Environment Protection</t>
  </si>
  <si>
    <t>At accept</t>
  </si>
  <si>
    <t>Average annual reduction MtCO2e/yr</t>
  </si>
  <si>
    <t>Experience and awareness raising</t>
  </si>
  <si>
    <t>National Energy Efficiency Action Plan of the Republic of Serbia (NEEAP)</t>
  </si>
  <si>
    <t>Energy efficient Schools and Hospitals</t>
  </si>
  <si>
    <t>Biomass power plants</t>
  </si>
  <si>
    <t>Residential, commercial and industrial boilers fueled by pellets/wood chips/agricultural waste</t>
  </si>
  <si>
    <t>Local environment, rural economy, local employment</t>
  </si>
  <si>
    <t>EE households</t>
  </si>
  <si>
    <t>The new Regulation on Energy Efficiency in Buildings adopted in August 2011 and came into force in September 2012</t>
  </si>
  <si>
    <t>Road transport</t>
  </si>
  <si>
    <t>The public enterprise "Roads of Serbia"</t>
  </si>
  <si>
    <t>Investment in infrastructure</t>
  </si>
  <si>
    <t>Improved roads</t>
  </si>
  <si>
    <t>Arterial roads improved</t>
  </si>
  <si>
    <t>COPERT 4 calculation</t>
  </si>
  <si>
    <t>Economical development, job creation, education and awareness raising</t>
  </si>
  <si>
    <t>Hydro power</t>
  </si>
  <si>
    <t>Construction of small hydropower plants</t>
  </si>
  <si>
    <t>www.merz.gov.rs/en ; http://192.168.16.144/Eng/Article.aspx?lista=Sitemap&amp;id=14</t>
  </si>
  <si>
    <t>Local environment, local employment, awareness raising</t>
  </si>
  <si>
    <t>Germany</t>
  </si>
  <si>
    <t>German Federal Ministry for Economic Cooperation and Development (BMZ), through GIZ and KfW</t>
  </si>
  <si>
    <t>Climate-related ODA funding</t>
  </si>
  <si>
    <t>International Climate Initiative (IKI)</t>
  </si>
  <si>
    <t>Support to LEDS, Development of NAMAs, Implementation of ambitious components of NAMAs</t>
  </si>
  <si>
    <t>Total support offered  MUS$/yr</t>
  </si>
  <si>
    <t>Federal Ministry for the Environment, Nature Conservation and Nuclear Safety</t>
  </si>
  <si>
    <t>Prefeasibility study completed for phas 1, phase 2 is in technical documentation preparation</t>
  </si>
  <si>
    <t>www.international-climate-initiative.com/en/nc/projects/projects/</t>
  </si>
  <si>
    <t>www.giz.de/Themen/en/26097.htm                                                           www.kfw-entwicklungsbank.de/International-financing/KfW-Entwicklungsbank/).</t>
  </si>
  <si>
    <t>Support0001</t>
  </si>
  <si>
    <t>Support0002</t>
  </si>
  <si>
    <r>
      <rPr>
        <sz val="10"/>
        <rFont val="Arial"/>
        <family val="2"/>
      </rPr>
      <t xml:space="preserve">These official Supports for NAMAs is submitted to the NAMA-registry Prototype at </t>
    </r>
    <r>
      <rPr>
        <u/>
        <sz val="10"/>
        <color theme="10"/>
        <rFont val="Arial"/>
        <family val="2"/>
      </rPr>
      <t>unfccc.int/cooperation_support/nama/items/6945.php</t>
    </r>
    <r>
      <rPr>
        <sz val="10"/>
        <rFont val="Arial"/>
        <family val="2"/>
      </rPr>
      <t xml:space="preserve"> where you can also submit your NAMA to the UNFCCC</t>
    </r>
  </si>
  <si>
    <t>Start year for support</t>
  </si>
  <si>
    <t>Number of years for support</t>
  </si>
  <si>
    <t>Financial support MUS$</t>
  </si>
  <si>
    <t>Technical support MUS$</t>
  </si>
  <si>
    <t>Capacity Building support MUS$</t>
  </si>
  <si>
    <t>MRV indicators required</t>
  </si>
  <si>
    <t>SD indicators required</t>
  </si>
  <si>
    <t>Ref</t>
  </si>
  <si>
    <t xml:space="preserve"> -</t>
  </si>
  <si>
    <t>NS-4</t>
  </si>
  <si>
    <t>NAMA0031</t>
  </si>
  <si>
    <t>NAMA0032</t>
  </si>
  <si>
    <t>NAMA0033</t>
  </si>
  <si>
    <t>NAMA0034</t>
  </si>
  <si>
    <t>NAMA0035</t>
  </si>
  <si>
    <t>Fertile Cresent</t>
  </si>
  <si>
    <t>Landfill gas</t>
  </si>
  <si>
    <t>Waste</t>
  </si>
  <si>
    <t>Landfill power</t>
  </si>
  <si>
    <t>National strategy to improve the MSWM
sector in Hashemite Kingdom of Jordan , funded of RLDP " Rejional and Local Development Project</t>
  </si>
  <si>
    <t>Seeking grant from EIB through its Horizon 2020/MEHIP_PPIE</t>
  </si>
  <si>
    <t>Fuels and Emissions Savings</t>
  </si>
  <si>
    <t>NAMA0036</t>
  </si>
  <si>
    <t>NAMA0037</t>
  </si>
  <si>
    <t>NAMA0038</t>
  </si>
  <si>
    <t>Electricity generation from Wind energy sources</t>
  </si>
  <si>
    <t>Electricity generation from Solar energy sources</t>
  </si>
  <si>
    <t>Renewable Energy and Energy Efficiency Law No. 13 for the Year 2012‐ Direct Proposals Policy Statement‐ Jordan Energy Sector Strategy 2008‐2020</t>
  </si>
  <si>
    <t>Improvement of Energy Efficiency in the Jordanian Water Sector (IEE)</t>
  </si>
  <si>
    <t>EE service</t>
  </si>
  <si>
    <t>Water pumping</t>
  </si>
  <si>
    <t>Pumping facilities, wellfields, booster stations, the water supply network and other water infrastructure</t>
  </si>
  <si>
    <t>Request for support for preparation and capacity building</t>
  </si>
  <si>
    <t>100 man-hours</t>
  </si>
  <si>
    <t>Water Strategy "Water for Life"; National Energy Strategy</t>
  </si>
  <si>
    <t>National appropriate mitigation action (NAMA) for industrial sector</t>
  </si>
  <si>
    <t>Energy strategy, water strategy, national agenda, second national communication, etc</t>
  </si>
  <si>
    <t>EE industry</t>
  </si>
  <si>
    <t>Industry</t>
  </si>
  <si>
    <t>The most feasible industries will be selected</t>
  </si>
  <si>
    <t>Prepare action plans for the most feasible GHG reduction actions in the industrial sector through selection of industries by benchmarking</t>
  </si>
  <si>
    <t>National appropriate mitigation action (NAMA) for national domestic waste management</t>
  </si>
  <si>
    <t>National agenda, second national communication, etc</t>
  </si>
  <si>
    <t>Landfill gas &amp; methane avoidance</t>
  </si>
  <si>
    <t>Solid waste &amp; wastewater</t>
  </si>
  <si>
    <t>Prepare national strategy for domestic waste</t>
  </si>
  <si>
    <t>The strategy will consider the domestic waste management from generation to final disposal</t>
  </si>
  <si>
    <t>NAMA0039</t>
  </si>
  <si>
    <t>NAMA0040</t>
  </si>
  <si>
    <t>This NAMA will upscale existing activities</t>
  </si>
  <si>
    <t>Samra Thermal Power Station ‐ Phase‐III Add‐On Combined Cycle</t>
  </si>
  <si>
    <t>Arab &amp; Kuwaiti funds loans</t>
  </si>
  <si>
    <t>Combined cycle power plant</t>
  </si>
  <si>
    <t>Refer to the CDM methodologie ACM14 &amp; AM20</t>
  </si>
  <si>
    <t>1805 MWh</t>
  </si>
  <si>
    <t>Prefeasibility study exists</t>
  </si>
  <si>
    <t>3 social, 5 economical, and 7 environmental indicators</t>
  </si>
  <si>
    <t>Methane avoidance</t>
  </si>
  <si>
    <t>NAMAs in Cement/Co‐Processing and Waste Sector</t>
  </si>
  <si>
    <t>Cement</t>
  </si>
  <si>
    <t>Clinker replacement</t>
  </si>
  <si>
    <t>Clinker will be replaced by recycled material</t>
  </si>
  <si>
    <t>25 employees have been trained</t>
  </si>
  <si>
    <t>Pollution avoided on the island, shore and sea. Several other indicators mentions</t>
  </si>
  <si>
    <t>A MRV will be set up at the end of the project</t>
  </si>
  <si>
    <t>Reference to several national policies</t>
  </si>
  <si>
    <t>Several</t>
  </si>
  <si>
    <t>Support0003</t>
  </si>
  <si>
    <t>Support0004</t>
  </si>
  <si>
    <t>S-54</t>
  </si>
  <si>
    <t>S-55</t>
  </si>
  <si>
    <t>S-62</t>
  </si>
  <si>
    <t>S-63</t>
  </si>
  <si>
    <t>NAMA Facility</t>
  </si>
  <si>
    <t>GEF</t>
  </si>
  <si>
    <r>
      <t xml:space="preserve">Financial and technical support to NAMAs across a range of sectors, focusing on the mobilization of capital investments for </t>
    </r>
    <r>
      <rPr>
        <b/>
        <sz val="10"/>
        <rFont val="Arial"/>
        <family val="2"/>
      </rPr>
      <t>transformational change</t>
    </r>
  </si>
  <si>
    <t>Global Environment Facility Secretariat</t>
  </si>
  <si>
    <t>Reducing or avoiding greenhouse gas emissions in the areas of renewable energy; energy efficiency; sustainable transport; and management of land use, land-use change ,and forestry (LULUCF)</t>
  </si>
  <si>
    <t>Support for preparation</t>
  </si>
  <si>
    <t>Support for implementation</t>
  </si>
  <si>
    <t>NAMA0041</t>
  </si>
  <si>
    <t>NAMA0042</t>
  </si>
  <si>
    <t>Emission Reduction Actions Program (NAMA) in Natural Gas Processing, Transport and Distribution System, through fugitive emission reduction</t>
  </si>
  <si>
    <t>Natural gas pipelines</t>
  </si>
  <si>
    <t>Fugitive</t>
  </si>
  <si>
    <t>Petróleos Mexicanos (PEMEX)</t>
  </si>
  <si>
    <t>AM23 used</t>
  </si>
  <si>
    <t>Economical savings, additional investment and rimproved risk management for natural gas</t>
  </si>
  <si>
    <t>Cogeneration in the mexican Oil and Gas sector</t>
  </si>
  <si>
    <t>The preparation stage of the NAMA has begun by documenting all the required information</t>
  </si>
  <si>
    <t>PEMEX</t>
  </si>
  <si>
    <t>The cost estimate is based on a former cogeneration projet at the "Cangrejera" Complex. The cost of the full project for 3500 MW is 1050 Million US$</t>
  </si>
  <si>
    <t>Support0005</t>
  </si>
  <si>
    <t>Support0006</t>
  </si>
  <si>
    <t>Support0007</t>
  </si>
  <si>
    <t>Global Environmental Facility (GEF)</t>
  </si>
  <si>
    <t>EU-Africa Infrastructure Trust Fund; c/o European Investment Bank</t>
  </si>
  <si>
    <t>EU-Africa Infrastructure Trust Fund (ITF)</t>
  </si>
  <si>
    <t xml:space="preserve">ITF is a fund of grant resources provided by the EU. The grant resources are blended with long-term loan financing from selected development finance institutions, helping to mobilise additional project finance and foster sustainable economic growth.
</t>
  </si>
  <si>
    <t>www.thegef.org/gef/guidelines/</t>
  </si>
  <si>
    <t>www.international-climate-initiative.com/en/issues/nama-facility/</t>
  </si>
  <si>
    <t>Countries supported</t>
  </si>
  <si>
    <t>Kind of Support</t>
  </si>
  <si>
    <t>Type of financial support</t>
  </si>
  <si>
    <t>Grant, Guarantee,Equity</t>
  </si>
  <si>
    <t>African regional projects</t>
  </si>
  <si>
    <t>Projects must demonstrate a development impact</t>
  </si>
  <si>
    <t>EU and member countries</t>
  </si>
  <si>
    <t xml:space="preserve">www.eu-africa-infrastructure-tf.net/about/FAQ/index.htm
www.eu-africa-infrastructure-tf.net/attachments/leaflet-steps-and-timing-for-submitting-a-go-for-itf-approval.pdf </t>
  </si>
  <si>
    <t>Technological support, Capacity building support</t>
  </si>
  <si>
    <t>Grant,Concessional loan</t>
  </si>
  <si>
    <t>Grant, Loan</t>
  </si>
  <si>
    <t>Support for preparation and implementation</t>
  </si>
  <si>
    <t>Grant</t>
  </si>
  <si>
    <t>Neighbourhood Investment Facility (NIF)</t>
  </si>
  <si>
    <t>Donor Country</t>
  </si>
  <si>
    <t>EU Directorate-General EuropeAid Development and Cooperation</t>
  </si>
  <si>
    <t>Eastern Europe, Middle East, North Africa</t>
  </si>
  <si>
    <t>Energy supply, Transport</t>
  </si>
  <si>
    <t>Energy supply, Industry, Forestry, Transport, Waste management</t>
  </si>
  <si>
    <t>ec.europa.eu/europeaid/where/neighbourhood/regional-cooperation/irc/investment_en.htm</t>
  </si>
  <si>
    <t>EU</t>
  </si>
  <si>
    <t>Cover investment needs for infrastructures in transport, energy, environment and social issues (e.g. construction of schools or hospitals)</t>
  </si>
  <si>
    <t>Latin American Investment Facility (LAIF)</t>
  </si>
  <si>
    <t>Latin America and the Caribbean</t>
  </si>
  <si>
    <t xml:space="preserve">ec.europa.eu/europeaid/where/latin-america/regional-cooperation/laif/index_en.htm </t>
  </si>
  <si>
    <t xml:space="preserve">LAIF supports infrastructure projects in different sectors and private sector development.
</t>
  </si>
  <si>
    <t>S-75</t>
  </si>
  <si>
    <t>S-76</t>
  </si>
  <si>
    <t>S-74</t>
  </si>
  <si>
    <t>Develop a low-emission development strategy. Reduce transmission &amp; distribution losses by 15% in 2030.</t>
  </si>
  <si>
    <t>NAMA0043</t>
  </si>
  <si>
    <t>NAMA for accelerated geothermal electricity development in Kenya</t>
  </si>
  <si>
    <t>Geothermal electricity</t>
  </si>
  <si>
    <t>GDP growth through lower energy prices and increased employment</t>
  </si>
  <si>
    <t>Ministry of Energy and Petroleum</t>
  </si>
  <si>
    <t>Cogeneration</t>
  </si>
  <si>
    <t xml:space="preserve">Number of private sector firms engaged </t>
  </si>
  <si>
    <t>Support to build 820 MW geothermal power as part of the National Climate Change Action Plan (NCCAP) from 2013. Including Financial and Technical capacity development programmes</t>
  </si>
  <si>
    <t>The NAMA will support a National Geothermal Capacity Building Program that undertakes training, research, mapping, planning and database development.</t>
  </si>
  <si>
    <t>Based upon Kenya: Vision 2030</t>
  </si>
  <si>
    <t>Support0008</t>
  </si>
  <si>
    <t>Austria</t>
  </si>
  <si>
    <t>S-84</t>
  </si>
  <si>
    <t>Austrian NAMA Initiative</t>
  </si>
  <si>
    <t>Kommunalkredit Public Consulting GmbH</t>
  </si>
  <si>
    <t xml:space="preserve"> Small-scale renewable and energy-efficient technologies </t>
  </si>
  <si>
    <t>Focus on Africa, LDCs &amp; SIDS</t>
  </si>
  <si>
    <t>Grant, preparation for carbon finance</t>
  </si>
  <si>
    <t xml:space="preserve">Maximum of financial support = 500,000 Euro. Funding for technical assistance and capacity building for building up the relevant institutional and regulatory capacities in eligible countries in the context of the supported NAMA activities. </t>
  </si>
  <si>
    <t>Projects and programmes, that foster access to sustainable energy, should be at the core of the initiative</t>
  </si>
  <si>
    <t>NAMA0044</t>
  </si>
  <si>
    <t>NAMA0045</t>
  </si>
  <si>
    <t>Adaptive Sustainable Forest Management in Borjomi-Bakuriani Forest District</t>
  </si>
  <si>
    <t>NS-85</t>
  </si>
  <si>
    <t>Pakistan</t>
  </si>
  <si>
    <t>Energy Efficient Lighting in Residential, Commercial, Industrial, and Outdoor Sectors of Pakistan</t>
  </si>
  <si>
    <t>Capacity building, best practice examples, on-site training and participatory pilot activities in the Borjomi-Bakuriani region as basis for upscaling sustainable forest management to the national level</t>
  </si>
  <si>
    <t>Forestry</t>
  </si>
  <si>
    <t>REDD+</t>
  </si>
  <si>
    <t>Forest Management</t>
  </si>
  <si>
    <t xml:space="preserve"> Samtskhe-Javakheti</t>
  </si>
  <si>
    <t>National Forestry Agency of the Ministry of Environment and Natural Resources Protection of Georgia</t>
  </si>
  <si>
    <t xml:space="preserve">The complete title of the project is: Adaptive Sustainable Forest Management in Borjomi -A model for improved sustainable management of forests, adaptation to climate change, promotion of co-benefits (such as biodiversity protection, poverty alleviation and improving the livelihood and resilience of local communities) </t>
  </si>
  <si>
    <t>In December 2013, the Georgian parliament has approved a new vision and guiding policy for the forest sector</t>
  </si>
  <si>
    <t>Development and enforcement of a national Energy Efficient lighting strategy, energy codes and standards, Minimum Energy Performance Standards and MRV system</t>
  </si>
  <si>
    <t xml:space="preserve">Establishment of a Revolving Loan Fund for future efficient lighting projects and awareness campaigns in the public on transition to EE lighting </t>
  </si>
  <si>
    <t>Integrated waste management system for CFLs and other mercury added products</t>
  </si>
  <si>
    <t>Efficient lighting</t>
  </si>
  <si>
    <t>Demand-side EE</t>
  </si>
  <si>
    <t>EE households &amp; service</t>
  </si>
  <si>
    <t>National Energy Conservation Centre (ENERCON)</t>
  </si>
  <si>
    <t>Status</t>
  </si>
  <si>
    <t>Withdrawn</t>
  </si>
  <si>
    <t>NAMA0046</t>
  </si>
  <si>
    <t>National Energy Efficient Lighting Program in Mongolia</t>
  </si>
  <si>
    <t>Climate Change Coordination Office (CCCO) in the Ministry of Environment and Green Development</t>
  </si>
  <si>
    <t>Jobs, public awareness, create business opportunities to private enterprises.</t>
  </si>
  <si>
    <t>Joint Crediting Mechanism (JCM)</t>
  </si>
  <si>
    <t xml:space="preserve">LEDs &amp; CFLs in residential, industrial,service and outdoor sectors. </t>
  </si>
  <si>
    <t>The grant will be used to create a revolving fund in support of energy efficiency in Mongolia. The outlined project will save 100,306 MWh in annual electricity consumption (=3.23 million Euro).</t>
  </si>
  <si>
    <t>“Mongolia power sector” presented by Ministry of Energy Mongolia; “Global Lighting Energy Bill”; “Appendix II of Copenhagen Accord”</t>
  </si>
  <si>
    <t>Mentioned in the National Action Programme on Climate Change (NAPCC) approved by the Parliament in 2000 and updated in 2011</t>
  </si>
  <si>
    <t>Support (MUS$)</t>
  </si>
  <si>
    <t>Support offered from</t>
  </si>
  <si>
    <t>Number of NAMAs submitted</t>
  </si>
  <si>
    <t>NAMA0047</t>
  </si>
  <si>
    <t>Smart Street Lighting Initiative</t>
  </si>
  <si>
    <t xml:space="preserve">Introduction of metering for street light. The NAMA will support cities to overcome their incremental cost when investing into more efficient technologies. </t>
  </si>
  <si>
    <t>Ministry of Energy and Mineral Resources (MEMR)</t>
  </si>
  <si>
    <t>The NAMA is in line with several provincial mitigation action plans. Domestic financing in the form of low interest loans.</t>
  </si>
  <si>
    <t>Street lighting</t>
  </si>
  <si>
    <t>Government investment facility (PIP)</t>
  </si>
  <si>
    <t>Reduction in electricity consumption GWh</t>
  </si>
  <si>
    <t>If no meters are installed the approved CDM methodology AMS-II.L. will be used</t>
  </si>
  <si>
    <t xml:space="preserve"> Job creation, improved public activity for men and women, reduction in traffic accidents, offers opportunities for local community to conduct business and participate in civic life in the evening.</t>
  </si>
  <si>
    <t xml:space="preserve">The National Energy Conservation Master Plan (RIKEN) that calls for a decrease in energy intensity by an average of 1% per year until 2025. 
</t>
  </si>
  <si>
    <t>S-99</t>
  </si>
  <si>
    <t>Support for Activities related to sustainable Management of Forests</t>
  </si>
  <si>
    <t>Sustainable Management of Forests</t>
  </si>
  <si>
    <t>Development of national policies and strategies for mitigating and adapting to climate change impacts on forests</t>
  </si>
  <si>
    <t>Support0009</t>
  </si>
  <si>
    <t>NAMAs supported</t>
  </si>
  <si>
    <t>NAMA0048</t>
  </si>
  <si>
    <t>Nationally Appropriate Mitigation Actions for low-carbon end-use sectors in Azerbaijan</t>
  </si>
  <si>
    <t>Azerbaijan</t>
  </si>
  <si>
    <t>UNDP</t>
  </si>
  <si>
    <t>Support the national oil company SOCAR in the development and implementation of NAMAs for energy efficiency and renewable energy in buildings and transportation.</t>
  </si>
  <si>
    <t>SOCAR a very ambitious voluntary commitment to reduce its own emissions by 40% or an equivalent of aggregate 20 MtCO2 by the year 2020, spelled out in the SOCAR’s Climate Change Strategy adopted by the Company’s Board in December 2010</t>
  </si>
  <si>
    <t>SOCAR’s Climate Change Strategy</t>
  </si>
  <si>
    <t>SOCAR’s Climate Change Strategy is being implemented</t>
  </si>
  <si>
    <t>NAMA0049</t>
  </si>
  <si>
    <t>NAMA0050</t>
  </si>
  <si>
    <t>NS-108</t>
  </si>
  <si>
    <t>NS-111</t>
  </si>
  <si>
    <t>NAMA for New Residential Buildings</t>
  </si>
  <si>
    <t>NAMA for Sustainable Housing Retrofit</t>
  </si>
  <si>
    <t xml:space="preserve">La Secretaría de Desarrollo Agrario, Territorial y Urbano (SEDATU) </t>
  </si>
  <si>
    <t>EE new buildings</t>
  </si>
  <si>
    <t>For each activity gas, water and electricity consumption, room temperature, specific temperature in walls, floor and ceiling will be measured</t>
  </si>
  <si>
    <t>The improvements are achieved through deployment of eco-technologies, proliferation of design improvements, and utilization of efficient building materials.</t>
  </si>
  <si>
    <t>EE existing buildings</t>
  </si>
  <si>
    <t>Support0010</t>
  </si>
  <si>
    <t>Urban NAMA</t>
  </si>
  <si>
    <t>NAMA0051</t>
  </si>
  <si>
    <t>NS-112</t>
  </si>
  <si>
    <t xml:space="preserve">Analyse of the potential to reduce housing programs environmental impacts and relation with other elements of the urban environment, such as water consumption, sewage, waste management and street lighting. </t>
  </si>
  <si>
    <t>ODA for Climate Change Measures</t>
  </si>
  <si>
    <t>Japan</t>
  </si>
  <si>
    <t>Japan International Cooperation Agency (JICA)</t>
  </si>
  <si>
    <t>Grant &amp; Concessional loan</t>
  </si>
  <si>
    <t>Development of national/local climate change policy and strategies, development of NAMA plans, implementation of individual mitigation projects including REDD+, supports for development of national GHG inventory, trainings, etc.).</t>
  </si>
  <si>
    <t>www.jica.go.jp/english/our_work/types_of_assistance/partnership/index.html</t>
  </si>
  <si>
    <t>The NAMA project has been developed by the Mexican National Housing Commission (CONAVI) with support from GIZ on behalf of BMU.</t>
  </si>
  <si>
    <t>NAMA0052</t>
  </si>
  <si>
    <t>NS-118</t>
  </si>
  <si>
    <t>The Government is currently undertaking capacity building efforts but requires support to strengthen its capacity in undertaking new energy efficient audits and the respective monitoring, reporting and verification</t>
  </si>
  <si>
    <t>Some of the costs will be covered by the government</t>
  </si>
  <si>
    <t>Implementation of energy efficiency measures identified by audits carried out by National Energy Commission (CNE). It has already has boosted the performance of at least 14 energy audits. This activity will be doubled.</t>
  </si>
  <si>
    <t xml:space="preserve">Lighting, air conditioning systems, technology information and electric equipment will be covered. Public agencies/institutions consume 7% of energy consumption of the country. </t>
  </si>
  <si>
    <t xml:space="preserve">National PRogram on Energy Efficiency: http://eficienciaenergetica.gob.do/index.php/plan-nacional. http://www.cne.gob.do/app/do/marco_leyes.aspx
http://www.cne.gob.do/app/do/marco_leyes.aspx
</t>
  </si>
  <si>
    <t>NAMA0053</t>
  </si>
  <si>
    <t>Sudan</t>
  </si>
  <si>
    <t>NS-121</t>
  </si>
  <si>
    <t>Development of a feed-in tariff NAMA for renewable energy</t>
  </si>
  <si>
    <t xml:space="preserve">The NAMA is being developed within a broader UNDP-GEF project, "Promoting Utility-Scale Power Generation from Wind Energy" </t>
  </si>
  <si>
    <t>Ministry of Water Resources &amp; Electricity (MWRE)</t>
  </si>
  <si>
    <t xml:space="preserve">Development of a feed-in tariff and associated electricity generation costs to allow geographical differentiation of the FiT tariff as well as the NAMA structure around the FiT (e.g. institutional arrangements, capacity development, MRV). </t>
  </si>
  <si>
    <t xml:space="preserve">Designing a carbon/climate finance 'window' so standard FiT payments can be augmented by additional premium payments that do not directly burden the Government of Sudan. Undertaking a technical review of the FiT after 2-3 years. </t>
  </si>
  <si>
    <t>Supported</t>
  </si>
  <si>
    <t>Sudan has set itself the target to increase electrification to 75-80% by 2020. The Renewable Energy Master Plan (REMP) from 2005 recommends the development of biomass to hydro, solar, geothermal, and large-scale wind power.</t>
  </si>
  <si>
    <t>Public buildings</t>
  </si>
  <si>
    <t>Electricity generating</t>
  </si>
  <si>
    <t>Reported annual</t>
  </si>
  <si>
    <t>GHG reduction</t>
  </si>
  <si>
    <t>in 2020 (MtCO2e)</t>
  </si>
  <si>
    <t>Santiago Transport Green Zone (STGZ)</t>
  </si>
  <si>
    <t>NAMA0054</t>
  </si>
  <si>
    <t>NS-126</t>
  </si>
  <si>
    <t>Municipality of Santiago</t>
  </si>
  <si>
    <t xml:space="preserve">Low carbon emission transport modes </t>
  </si>
  <si>
    <t>Electric buses, biking, pedestrian streets</t>
  </si>
  <si>
    <t>In 10 years the project can be upscaled to a GHG reduction of 1.43 MtCO2 in Santiago to include 15% of taxi fleet (3,525 units replaced) and 15% of Transantiago bus fleet (975 units replaced).</t>
  </si>
  <si>
    <t>Profits for commercial shops placed in the new pedestrian and semi-pedestrian streets. Obesity Index variation.</t>
  </si>
  <si>
    <t xml:space="preserve"> “Design of a Program for Technological Improvement of Buses in the Public Transport System of Santiago”</t>
  </si>
  <si>
    <t>NAMA0055</t>
  </si>
  <si>
    <t>NS-124</t>
  </si>
  <si>
    <t>Nationally Appropriate Mitigation Actions for Low-carbon Urban Development in Kazakhstan</t>
  </si>
  <si>
    <t>The Project supports the identification, design, and implementation of NAMAs in the urban sector. Improve the capacity of municipalities to carry out integrated municipal planning, make targets and prioritize urban mitigation actions.</t>
  </si>
  <si>
    <t>Low carbon urban planning</t>
  </si>
  <si>
    <t xml:space="preserve">Following the NAMA development, the Global Environment Facility will contribute 5.93 mln US$ for the implementation of the NAMA. </t>
  </si>
  <si>
    <t xml:space="preserve">The Energy Saving Program-2020 (Program 2020) 
The Comprehensive Energy Saving Plan for 2012-2015 
Programme on Modernization of Housing and Utility Sector for 2011-2020
National Program for Modernization (NPM) for Residential and Communal Sector for 2011-2020 </t>
  </si>
  <si>
    <t>S-122</t>
  </si>
  <si>
    <t>Support offered</t>
  </si>
  <si>
    <t>MUS$</t>
  </si>
  <si>
    <t>From</t>
  </si>
  <si>
    <t>UK &amp; Germany</t>
  </si>
  <si>
    <t>NAMA0056</t>
  </si>
  <si>
    <t>NAMA0057</t>
  </si>
  <si>
    <t>Energy Efficient Public Buildings and Housing in Armenia</t>
  </si>
  <si>
    <t>NS-144</t>
  </si>
  <si>
    <t>For public buildings provide support to financing, policy and strategies, regulatory framework, including enforcement, capacity building and awareness raising. Energy efficient design with incorporation of passive solar, efficiency upgrades to building envelope, heating /ventilation/cooling system, and renewable energy applications in the buildings.</t>
  </si>
  <si>
    <t>Ministry of Urban Development, Urban Development Projects Implementation Unit</t>
  </si>
  <si>
    <t>New buildings and rehabilitations</t>
  </si>
  <si>
    <t>The full costs are additional to the national core financing of the planned investment programs addressed in NAMA component 1 in the period of 2015-2020 (about USD 200 million) and financing of new investment program addressed in NAMA component 2.</t>
  </si>
  <si>
    <t>State budget</t>
  </si>
  <si>
    <t xml:space="preserve">Sustainable technology transfer, employment generation, development of regional and local economies, services quality improvement, capacity development, reduction (energy) poverty. </t>
  </si>
  <si>
    <t xml:space="preserve">Copenhagen Accords and Action Plan on implementation of the UNFCCC commitments; Law on Energy Saving and Renewable Energy and the Law on Urban Development; National Strategy on Developing Social Housing Stock for a period of 2014-2025; Strategic Program for Sustainable Development for 2014-2025. </t>
  </si>
  <si>
    <t>1) Investment grants to cover incremental investment costs for energy efficiency in new construction and rehabilitation; 2) New investment program for energy efficient rehabilitation/construction of public buildings, through leveraging low interest concessional loans; 3) Technical support and capacity building.</t>
  </si>
  <si>
    <t>Colombia TOD NAMA</t>
  </si>
  <si>
    <t>NS-127</t>
  </si>
  <si>
    <t>Bus Rapid Transit</t>
  </si>
  <si>
    <t xml:space="preserve">The goal of this NAMA is to trigger transformational change of the urban template of Colombian cities, because destinations and origins are brought closer together and non-motorized and transit modes are easier to use. </t>
  </si>
  <si>
    <t>FINDETER Financiera del Desarrollo, and CIUDAT</t>
  </si>
  <si>
    <t xml:space="preserve">Transit Oriented Development is an energy efficient, high quality-of-life urban form that combines walkable public spaces, mixed use buildings and public transit in compact neighborhoods within a city. Focus on a small number of pilots (types, city sizes) that can be replicated. </t>
  </si>
  <si>
    <t>There will be an institutional structure in place for continuity of CIUDAT functions at the end of the NAMA facility funding period</t>
  </si>
  <si>
    <t xml:space="preserve">Transport costs per person </t>
  </si>
  <si>
    <t>Spanish NAMA Platform</t>
  </si>
  <si>
    <t>Support0011</t>
  </si>
  <si>
    <t>S-143</t>
  </si>
  <si>
    <t>Spain</t>
  </si>
  <si>
    <t>Government of Spain, ICEX Spain Trade and Investment (Ministry of Economy and Competitiveness), together with Spanish Climate Change Office and the Spanish Agency for International Development Cooperation.</t>
  </si>
  <si>
    <t>Loans, Consessional loans, Guarantee</t>
  </si>
  <si>
    <t>Identifying the support and cooperation instruments available at the Spanish Administration that could fit the NAMA´s needs, and identifying the technological solutions and potential actors for every step of the implementation.</t>
  </si>
  <si>
    <t xml:space="preserve">Inter-American Development Bank (IDB)- Support for the design, development and implementation of NAMAs in the LAC region </t>
  </si>
  <si>
    <t>S-130</t>
  </si>
  <si>
    <t>Inter-American Development Bank (IDB)</t>
  </si>
  <si>
    <t>Financing NAMA development: support prioritization, preparation. Helping develop national or sectorial plans. Sharing knowledge and best practices of the region and capacity building. Helping leverage international financing.</t>
  </si>
  <si>
    <t xml:space="preserve">IDB 26 member countries in Latin America and the Caribbean </t>
  </si>
  <si>
    <t>Grants, loans, Consessional loans, Guarantee</t>
  </si>
  <si>
    <t>Supporting Mechanisms for Promoting Distributed Generation (Net Metering, Wheeling, Banking etc.) in Pakistan to put 3 GW Alternative and Renewable Energy (ARE) Projects in next 7 years.</t>
  </si>
  <si>
    <t>NAMA0058</t>
  </si>
  <si>
    <t>NAMA0059</t>
  </si>
  <si>
    <t>NAMA0060</t>
  </si>
  <si>
    <t>NAMA0061</t>
  </si>
  <si>
    <t>NAMA0062</t>
  </si>
  <si>
    <t>NAMA0063</t>
  </si>
  <si>
    <t>NS-134</t>
  </si>
  <si>
    <t>This NAMA Support project will enable in establishing a conducive regulatory regime for distributed renewable generation in the country in order to put up 3 GW installed capacity in next 10 years.</t>
  </si>
  <si>
    <t xml:space="preserve">Potential of Transformational Change: This NAMA can trigger a large increase in Renewable power generation, </t>
  </si>
  <si>
    <t>EE supply-side</t>
  </si>
  <si>
    <t>More renewable energy</t>
  </si>
  <si>
    <t>Establishing financing mechanisms</t>
  </si>
  <si>
    <t>National Climate Change Policy approved in 2012 outlines goals and strategies to achieve targets in the Adaptation and Mitigation sectors. Policy of Development of Renewable Energy for Power Generation, 2006. The Power Policy 2013.</t>
  </si>
  <si>
    <t>Strategizing for Grid Strengthening / Improvement for evacuation of power from Solar Power Projects</t>
  </si>
  <si>
    <t>NS-135</t>
  </si>
  <si>
    <t>This NAMA Support project is designed to develop a master plan for development of solar power and prepare a strategy for developing national grid. Establishing a financing instrument for development of solar power with the focus of addressing concerns of lenders and developers.</t>
  </si>
  <si>
    <t>A strategy document will be prepared that would facilitate in evacuation of power supply of 1,500 MW in the national grid could be achieved. A financing instrument will be created to promote solar power in the country.</t>
  </si>
  <si>
    <t>Human resource development</t>
  </si>
  <si>
    <t>Duty exemptions on renewable/energy efficiency equipment.</t>
  </si>
  <si>
    <t>Accelerating the Market Transformation to Energy Efficient Lighting</t>
  </si>
  <si>
    <t>NS-136</t>
  </si>
  <si>
    <t xml:space="preserve">Development and enforcement of a National Efficient Lighting Strategy, including minimum energy performance standards (MEPS). Additionally, the project will establish a revolving loan fund (RLF) to accelerate the transition to efficient lighting products.
</t>
  </si>
  <si>
    <t>Lighting</t>
  </si>
  <si>
    <t>Market transformation towards energy efficient lighting in residential, domestic, industrial and outdoor sectors. During the first year of the implementation, it is expected that 100 projects will receive financing with an average size of funding of 40,000 USD.</t>
  </si>
  <si>
    <t xml:space="preserve">The project also start a transformational change to LED technologies and controls </t>
  </si>
  <si>
    <t>National Energy Conservation Centre (ENERCON), Ministry of Water and Power</t>
  </si>
  <si>
    <t>The Energy Conservation Fund (ECF) is an active revolving fund governed by a board of public and private sector entities. ECF has the capacity to effectively handle the proposed Revoling Loan Fund (RLF) component.</t>
  </si>
  <si>
    <t xml:space="preserve">National Climate Change Policy approved in 2012 outlines goals and strategies to achieve targets in the Adaptation and Mitigation sectors. National Energy Conservation Policy, 2006 </t>
  </si>
  <si>
    <t>Development and Installation of Carbon Dioxide Sequestration Technologies in Pakistan</t>
  </si>
  <si>
    <t>NS-138</t>
  </si>
  <si>
    <t>CO2 sequestration</t>
  </si>
  <si>
    <t>CCS</t>
  </si>
  <si>
    <t>Pakistan Council for Science and Technology (PCST), Ministry of Scienece and Technology. And Climate Change Division, Cabinet Secretariat Government of Pakistan.</t>
  </si>
  <si>
    <t>Designing and installation pilot CCS plant near the Thar coal, Kandra gas fields and other power generation stations. Establishment of R&amp;D Lab, technology development and fabrication costs, appraisal, technical and financial assistance/ evaluation costs.</t>
  </si>
  <si>
    <t>Harnessing Municipal Waste of big Cities of Pakistan to Generate Electricity</t>
  </si>
  <si>
    <t>NS-139</t>
  </si>
  <si>
    <t>Preparing for CCS projects in Pakistan</t>
  </si>
  <si>
    <t>Designed to develop regulatory, legislative and financial instrumental streams for the development and promotion of municipal waste management system and deploying them for energy generation. complete phase out of the inefficient waste handling activities from all sectors of the country.</t>
  </si>
  <si>
    <t>The project will result in establishing a Guarantee Support fund of US$ 5 million. Biomass/Waste‐to‐Energy (BM/WTE) plants for all kinds of waste</t>
  </si>
  <si>
    <t>Alternative Energy Development Board, Ministry of Water and Power</t>
  </si>
  <si>
    <t>Alternative Energy Development Board, Ministry of Water and Power. And Climate Change Division, Cabinet Secretariat Government of Pakistan.</t>
  </si>
  <si>
    <t>Strategizing for Grid Strengthening / Improvement for evacuation of power from Wind Power Projects</t>
  </si>
  <si>
    <t>NS-140</t>
  </si>
  <si>
    <t>Establishing a financing instrument for development of solar power with the focus of addressing concerns of lenders and developers.</t>
  </si>
  <si>
    <t>Establish master planning for development of wind power in potential areas of Pakistan. Establishing a financing instrument and a support fund for development of wind power.</t>
  </si>
  <si>
    <t>Creating enabling environment and develop the grid infrastructure to evacuate 3,200 MW wind power in next five years.</t>
  </si>
  <si>
    <t>NEFCO Carbon Finance and Funds</t>
  </si>
  <si>
    <t>S-146</t>
  </si>
  <si>
    <t>Support0013</t>
  </si>
  <si>
    <t>Support0014</t>
  </si>
  <si>
    <t xml:space="preserve">Nordic Partnership Initiative, Nordic Climate Facility </t>
  </si>
  <si>
    <t>Asia Pacific, Latin America &amp; Carribean</t>
  </si>
  <si>
    <t xml:space="preserve">Financing NAMA development for national/sectoral policy-programme-strategy. Calls for projects may be announced from time to time. </t>
  </si>
  <si>
    <t>FAOSTAT Emissions Database</t>
  </si>
  <si>
    <t>S-145</t>
  </si>
  <si>
    <t>Access to the FAOSTAT Emissions database provides emissions data with global coverage for the Agriculture, Forestry, and Other Land Use (AFOLU)</t>
  </si>
  <si>
    <t>Food and Agriculture Organization (FAO)</t>
  </si>
  <si>
    <t>Grants</t>
  </si>
  <si>
    <t>No money</t>
  </si>
  <si>
    <t>Access to data</t>
  </si>
  <si>
    <t xml:space="preserve">faostat3.fao.org/browse/G1/*/E
faostat3.fao.org/browse/G2/*/E
</t>
  </si>
  <si>
    <t>Forestry &amp; Agriculture</t>
  </si>
  <si>
    <t>Transforming construction in Mongolia using Supplementary Cementitious Materials</t>
  </si>
  <si>
    <t>Ministry of Environment and Green Development</t>
  </si>
  <si>
    <t>The project will use recycled fly ash from local coal-fired power plants as raw material. Change wet-processing of cement to dry processing is not part of this NAMA</t>
  </si>
  <si>
    <t xml:space="preserve">The National Action Programme on Climate Change (NAPCC) was approved by the State Great Khural (Parliament) in 2000 and updated in 2011. </t>
  </si>
  <si>
    <t>NS-147</t>
  </si>
  <si>
    <t>Bio-energy generation and greenhouse-gases mitigation though organic-waste utilization</t>
  </si>
  <si>
    <t xml:space="preserve">Potential for Transformational Change. This NAMA project will be the first initiative in this field in Pakistan. </t>
  </si>
  <si>
    <t xml:space="preserve">The project will focus on production of biogas from livestock wastes of dairy farms. </t>
  </si>
  <si>
    <t>Manure</t>
  </si>
  <si>
    <t>Conduct diagnostic studies to evaluate the existing pattern of organic-wastes disposal/utilization and the amount of green-house gases emitted in a time span.</t>
  </si>
  <si>
    <t>Capacity building of the federal/provincial and NGO peoples regarding management of manure and carbon sequestration</t>
  </si>
  <si>
    <t>Pakistan Agriculture Research Council (PARC), Ministry of National Food Security and Research</t>
  </si>
  <si>
    <t>Biogas</t>
  </si>
  <si>
    <t>NAMA0064</t>
  </si>
  <si>
    <t>NAMA0065</t>
  </si>
  <si>
    <t>UNDP support for preparation by Mark van Wees of this NAMA (2014)</t>
  </si>
  <si>
    <t>Integrated improvement of Road-based Freight sector in Colombia</t>
  </si>
  <si>
    <t>NAMA0066</t>
  </si>
  <si>
    <t>NS-119</t>
  </si>
  <si>
    <t xml:space="preserve">This NAMA covers a freight logistics policy, a freight improvement program and freight vehicle scrappage and fleet renewal </t>
  </si>
  <si>
    <t>Freight transport</t>
  </si>
  <si>
    <t xml:space="preserve">CONPES 3547: National logistics policy.
CONPES 3489: National public road freight transport policy.
CONPES 3759 Policy guidelines for the modernisation of road freight transport, highlighting the strategic importance of the road freight vehicle scrappage and fleet renewal programme. </t>
  </si>
  <si>
    <t xml:space="preserve">A complete freight policy in the country is being developed by the Ministry of Transport in Colombia in the CONPES policy document number 3779. The implementation of the freight improvement program is indicated in CONPES policy documents 3489 (to modernize the sector), 3547 (for a national logistics plan) and 3579 (of fleet renovation). </t>
  </si>
  <si>
    <t>NAMA0067</t>
  </si>
  <si>
    <t>NS-149</t>
  </si>
  <si>
    <t>The purpose of this NAMA is to reduce GHG emissions through anaerobic digestion in the Dominican pig farms.</t>
  </si>
  <si>
    <t>The NAMA includes the installation of 1750 biodigesters.</t>
  </si>
  <si>
    <t>Reduced pig farm energy consumption</t>
  </si>
  <si>
    <t>Reduced fossil fuel imports; reduction of pollution from pig farms.</t>
  </si>
  <si>
    <t>USD60,000 from UNDP Carbon 2012 Regional Project for the feasibility study of a programme for capture and use of methane in pig farms in Domincan Republic and the preparation of a NAMA Concept.</t>
  </si>
  <si>
    <t>NS-31, NS-32, NS-33</t>
  </si>
  <si>
    <t>NAMA0068</t>
  </si>
  <si>
    <t>NAMA0069</t>
  </si>
  <si>
    <t>NAMA0070</t>
  </si>
  <si>
    <t>NAMA0071</t>
  </si>
  <si>
    <t>NAMA0072</t>
  </si>
  <si>
    <t>NAMA0073</t>
  </si>
  <si>
    <t>NS-150</t>
  </si>
  <si>
    <t>NS-151</t>
  </si>
  <si>
    <t>NS-153</t>
  </si>
  <si>
    <t>NS-154</t>
  </si>
  <si>
    <t>NS-156</t>
  </si>
  <si>
    <t>NS-158</t>
  </si>
  <si>
    <t>Kampala</t>
  </si>
  <si>
    <t>Reduction, Recycling and Reuse of Solid Waste in Kampala City</t>
  </si>
  <si>
    <t>Climate Change Department</t>
  </si>
  <si>
    <t>Reducing the amount of municipal solid waste produced by not creating it, reuse (reusing materials and packaging where possible) and recycling (materials and packaging that cannot be reused should be recycled)</t>
  </si>
  <si>
    <t>Reduction of MSW</t>
  </si>
  <si>
    <t>The Promotion of the Use of Efficient Institutional Stoves in Institutions</t>
  </si>
  <si>
    <t>EE public stoves</t>
  </si>
  <si>
    <t xml:space="preserve">A database of schools and their energy status will be made and subsequently updated on a regular basis. Sensitisation of the Ministry, District Education Officer, the District Inspector of Schools, headteachers, teachers, school management committees and parents. </t>
  </si>
  <si>
    <t xml:space="preserve">Promotion of the use of improved energy efficient cook stoves (mainly the rocket stove using 33% less wood) in educational institutions. Development of standards for public stoves. Support the development of a sustainable stove industry. </t>
  </si>
  <si>
    <t>Bus Rapid Transit (BRT) for Kampala</t>
  </si>
  <si>
    <t xml:space="preserve">Planning a coordinated urban transportation design of routes, linkage between the BRT routes and other modes of transport, facilities increasing ridership, operational mechanisms of efficiency such as scheduling, on time repairs, maintenance, buses, pricing, park and ride facilities. </t>
  </si>
  <si>
    <t xml:space="preserve">The activities of the NAMA includeplanning 9 routes of the BRT, non-motorised transport (NMT) routes linked to the bus routes, park and ride facilities, programming and scheduling buses along the routes, and ensuring systems for operational efficiency.
</t>
  </si>
  <si>
    <t>Developing appropriate strategies and techniques to reduce methane emissions from livestock production in Uganda</t>
  </si>
  <si>
    <t>Reduced enteric fermentation</t>
  </si>
  <si>
    <t>Exploring various feed additives, including plant extracts (condensed tannins, saponins, essential oils) and rumen modifiers (yeast, bacterial direct fed microbials, and enzymes).</t>
  </si>
  <si>
    <t>Integrated Wastewater Treatment for Agro-process Water in Uganda</t>
  </si>
  <si>
    <t>Methane will be captured in the form of biogas and using a generator converted to electricity, and/or used directly for cooking and lighting where the volumes of biogas generated are small.</t>
  </si>
  <si>
    <t>Waste water</t>
  </si>
  <si>
    <t>Periodic Vehicle Inspection for Emissions and Roadworthiness</t>
  </si>
  <si>
    <t>This NAMA is one component of the larger NAMA, Fuel Efficiency in Motor Vehicles, that will implement a Fuel Efficiency Initiative with policies and regulations to promote the use of more efficient vehicles</t>
  </si>
  <si>
    <t>The vehicle inspection action will involve two types of inspection. 1) The Pre-Shipment Inspection (PVOC) done in collaboration with agencies of the exporting countries. 2) The periodic inspection and certification for roadworthiness done in the country.</t>
  </si>
  <si>
    <t>Both inspection points will be based on indicators such as: vehicle age, engine type, fuel capacity, year of manufacture. The NAMA will initially require investment by government, but will gradually become self-financing since vehicle users will be charged.</t>
  </si>
  <si>
    <t>More efficient vehicles</t>
  </si>
  <si>
    <t>Vehicle inspection</t>
  </si>
  <si>
    <t>NAMA0074</t>
  </si>
  <si>
    <t>Low Carbon Coffee - Costa Rica</t>
  </si>
  <si>
    <t>Ministry of Agriculture and Livestock (MAG)</t>
  </si>
  <si>
    <t>Transformational aspects of the NAMA</t>
  </si>
  <si>
    <t xml:space="preserve">The agricultural sector accounts for 37 % of national GHG emissions, 25% of these belong to the coffee sector (10% of overall emissions). </t>
  </si>
  <si>
    <t>Cost savings, income diversification and capital building on farmers level, higher yields and earnings through increased soil fertility and less vulnerable soils, ecological competitiveness on markets through a certified carbon-neutral coffee trademark; maintenance of the level of employment: up to 150,000 jobs during harvest.</t>
  </si>
  <si>
    <t>Four GHG measures at about half of the coffee farms and the mills. At all, 52,787 coffee producers, 184 coffee mills (organized in cooperatives or private companies) are maintaining the coffee sector as an important export sector: actually about 9.2% of national exports.</t>
  </si>
  <si>
    <t>All emissions</t>
  </si>
  <si>
    <t>Coffee production</t>
  </si>
  <si>
    <t>NAMA0075</t>
  </si>
  <si>
    <t>NAMA0076</t>
  </si>
  <si>
    <t>NAMA0077</t>
  </si>
  <si>
    <t>NAMA0078</t>
  </si>
  <si>
    <t>NAMA0079</t>
  </si>
  <si>
    <t>NAMA0080</t>
  </si>
  <si>
    <t>NAMA0081</t>
  </si>
  <si>
    <t>Cogeneration in Mexico</t>
  </si>
  <si>
    <t>NS-161</t>
  </si>
  <si>
    <t>Solar Water Heaters</t>
  </si>
  <si>
    <t>NS-160</t>
  </si>
  <si>
    <t>Efficient Cookstoves</t>
  </si>
  <si>
    <t>NS-159</t>
  </si>
  <si>
    <t>NS-166</t>
  </si>
  <si>
    <t>Renewable Energies and Energy Efficiency in the Private Sector</t>
  </si>
  <si>
    <t>NS-165</t>
  </si>
  <si>
    <t>Fuel Switch for the Power Generation</t>
  </si>
  <si>
    <t>NS-162</t>
  </si>
  <si>
    <t>NS-163</t>
  </si>
  <si>
    <t>NS-164</t>
  </si>
  <si>
    <t>NAMA0082</t>
  </si>
  <si>
    <t>Car Fleet Renewal in Mexico</t>
  </si>
  <si>
    <t>Disposal and Use of Wastes and Solid and Biomass Residues</t>
  </si>
  <si>
    <t>Fuel Switch in the industry</t>
  </si>
  <si>
    <t>NR-011</t>
  </si>
  <si>
    <t>NR-049</t>
  </si>
  <si>
    <t>NR-006</t>
  </si>
  <si>
    <t>NR-007</t>
  </si>
  <si>
    <t>NS-010</t>
  </si>
  <si>
    <t>NS-012</t>
  </si>
  <si>
    <t>NS-013</t>
  </si>
  <si>
    <t>NS-002</t>
  </si>
  <si>
    <t>NS-021</t>
  </si>
  <si>
    <t>NS-023</t>
  </si>
  <si>
    <t>NS-024</t>
  </si>
  <si>
    <t>NS-025</t>
  </si>
  <si>
    <t>NS-026</t>
  </si>
  <si>
    <t>NS-027</t>
  </si>
  <si>
    <t>NS-028</t>
  </si>
  <si>
    <t>NS-029</t>
  </si>
  <si>
    <t>NS-003</t>
  </si>
  <si>
    <t>NS-031</t>
  </si>
  <si>
    <t>NS-032</t>
  </si>
  <si>
    <t>NS-033</t>
  </si>
  <si>
    <t>NS-034</t>
  </si>
  <si>
    <t>NS-035</t>
  </si>
  <si>
    <t>NS-036</t>
  </si>
  <si>
    <t>NS-037</t>
  </si>
  <si>
    <t>NS-039</t>
  </si>
  <si>
    <t>NS-004</t>
  </si>
  <si>
    <t>NS-040</t>
  </si>
  <si>
    <t>NS-041</t>
  </si>
  <si>
    <t>NS-044</t>
  </si>
  <si>
    <t>NS-046</t>
  </si>
  <si>
    <t>NS-047</t>
  </si>
  <si>
    <t>NS-048</t>
  </si>
  <si>
    <t>NS-005</t>
  </si>
  <si>
    <t>NS-050</t>
  </si>
  <si>
    <t>NS-051</t>
  </si>
  <si>
    <t>NS-052</t>
  </si>
  <si>
    <t>NS-065</t>
  </si>
  <si>
    <t>NS-068</t>
  </si>
  <si>
    <t>NS-072</t>
  </si>
  <si>
    <t>NS-073</t>
  </si>
  <si>
    <t>NS-008</t>
  </si>
  <si>
    <t>NS-083</t>
  </si>
  <si>
    <t>NS-085</t>
  </si>
  <si>
    <t>NS-088</t>
  </si>
  <si>
    <t>NS-089</t>
  </si>
  <si>
    <t>NS-009</t>
  </si>
  <si>
    <t>NS-090</t>
  </si>
  <si>
    <t>NS-091</t>
  </si>
  <si>
    <t>NS-095</t>
  </si>
  <si>
    <t>NS-071</t>
  </si>
  <si>
    <t>Costa Rica Livestock NAMA</t>
  </si>
  <si>
    <t>NAMA0083</t>
  </si>
  <si>
    <t>Changes in the primary production of meat and milk through the generation, dissemination and adoption of new measures (technologies and processes) of mitigation-adaptation in the livestock sector, but also in the form of processing the product within the Costa Rican agricultural chain.</t>
  </si>
  <si>
    <t xml:space="preserve">Livestock sector and product processing </t>
  </si>
  <si>
    <t>Soil Conservation and Restoration; Ecosystem services; Profitability</t>
  </si>
  <si>
    <t>México NAMA Facility</t>
  </si>
  <si>
    <t xml:space="preserve">Reduce the emissions associated with the consumption of non renewable biomass and to significantly improve the health, the economy and quality of life of all the users through the provisioning of efficient stoves that allow them to cover all of their needs with in a sustainable manner.
</t>
  </si>
  <si>
    <t>Stoves</t>
  </si>
  <si>
    <t>Installation and use of solar heaters in residential, commercial, industrial and agricultural sectors</t>
  </si>
  <si>
    <t>Renewables</t>
  </si>
  <si>
    <t>Solar water heating</t>
  </si>
  <si>
    <t>This NAMA seeks to eliminate schemes that allow the elimination of barriers that limit the implementation of cogeneration projects in the private sector</t>
  </si>
  <si>
    <t>Currently, the main document of the NAMA is under developement. Nevertheless, financial support is required to finish the main NAMA document, design the MRV mechanism and design a pilot project.</t>
  </si>
  <si>
    <t>No details</t>
  </si>
  <si>
    <t xml:space="preserve">Financial support is required for the elaboration of the main NAMA document, design the MRV mechanism and design a pilot project. </t>
  </si>
  <si>
    <t>Reduction of the fatalities and accidents; Creation of new jobs; Improvement of the air quality.</t>
  </si>
  <si>
    <t xml:space="preserve">Reduction of the average age of the national vehicle fleet (aiming to reduce its age from 14.8 to 11.2 years). </t>
  </si>
  <si>
    <t xml:space="preserve">This NAMA seeks to promote, through and incentive system, activities of disposal, recycling, reuse and efficient exploitation of the solid wastes at national level, which will result altogether in a better management of the these residues.
</t>
  </si>
  <si>
    <t>Reduction of the negative impacts in health resulting from an inefficient disposal of solid wastes.</t>
  </si>
  <si>
    <t>Perform of a residues sorting program for its energy exploitation and recycling. New infrastructure for the efficient disposal of residues and for the develpment of projects focused in the energy exploitation of solid residues</t>
  </si>
  <si>
    <t>Landfills</t>
  </si>
  <si>
    <t>Integrated solid waste management</t>
  </si>
  <si>
    <t>Fossil fuel shift</t>
  </si>
  <si>
    <t>This NAMA seeks to promote the creation of new schemes focused on the elimination of the barrier that currently stop the switch to less carbon intensive fuels for the industries.</t>
  </si>
  <si>
    <t>This NAMA seeks to promote the creation of new schemes focused on the elimination of the barrier that currently stop the switch to less carbon intensive fuels for the private industries.</t>
  </si>
  <si>
    <t>This NAMA seeks to promote the implementation of steps for the diversification and strengthening of the national energy network, creation of new jobs, attraction of international funds for the execution of renewable energy and energy efficiency projects.</t>
  </si>
  <si>
    <t>Renewables &amp; EE</t>
  </si>
  <si>
    <t>NAMA0084</t>
  </si>
  <si>
    <t xml:space="preserve">Comisión Nacional de Vivienda (CONAVI), Secretaría de Desarrollo Agrario, Territorial y Urbano (SEDATU), and Instituto del Fondo Nacional de la Vivienda para los Trabajadores (INFONAVIT). </t>
  </si>
  <si>
    <t xml:space="preserve">MRV of: gas, water, electricity consumption; room temperature, specific temperature in walls, floor and ceiling. </t>
  </si>
  <si>
    <t>This NAMA seeks to maximize the efficiency of water, electricity and gas consumption in existing homes. The implementation of the specific retrofit measures will be defined by an energy advisor and will depend on the specific requirements, such as the building prototype and climate zone.</t>
  </si>
  <si>
    <t>Energy efficient buildings</t>
  </si>
  <si>
    <t>NAMA0085</t>
  </si>
  <si>
    <t>NAMA0086</t>
  </si>
  <si>
    <t>Low Emission Schools</t>
  </si>
  <si>
    <t>NS-170</t>
  </si>
  <si>
    <t xml:space="preserve">Ethiopia Railway's ­ Addis Ababa Light Rail Transit (LRT) Transit Oriented Development (TOD) NAMA </t>
  </si>
  <si>
    <t>NS-167</t>
  </si>
  <si>
    <t xml:space="preserve">Number of participating schools; Number of projects developed by children; Changes in school plans, local climate change plans or federal programs </t>
  </si>
  <si>
    <t>General Directorate of Climate Change Policy, Secretary of Environment and Natural Resources (SEMARNAT)</t>
  </si>
  <si>
    <t xml:space="preserve">The financial support will be spent to develop the following activities:
•GHG Inventory for the education sector 
•Identification of key sector needs 
•Quantification of co-benefits 
•Generation of information to influence public policy </t>
  </si>
  <si>
    <t xml:space="preserve">The Low Emission Schools Programme activities are registered on a platform that serves as an interactive portal for environmental education. </t>
  </si>
  <si>
    <t>Total requested support MUS$</t>
  </si>
  <si>
    <t>Cost</t>
  </si>
  <si>
    <t xml:space="preserve"> (MUS$)</t>
  </si>
  <si>
    <t>Requested</t>
  </si>
  <si>
    <t>Start year of NAMA</t>
  </si>
  <si>
    <t>The Government has issued the Climate‐Resilient Green Economy (CRGE) strategy in 2011, which lays down the country’s plan todevelop a carbon neutral, green economy by 2025.</t>
  </si>
  <si>
    <t>The TOD will increase transport safety, reduce pollution, lower costs of transport and provide easy access to work and business.</t>
  </si>
  <si>
    <t>Light Rail Transit</t>
  </si>
  <si>
    <t>Addis Ababa</t>
  </si>
  <si>
    <t>Transit Oriented Development</t>
  </si>
  <si>
    <t>These official NAMAs are submitted to the NAMA-registry at www4.unfccc.int/sites/nama/SitePages/Home.aspx,where you can also submit your NAMA to the UNFCCC</t>
  </si>
  <si>
    <t>NAMA0087</t>
  </si>
  <si>
    <t>NAMA0088</t>
  </si>
  <si>
    <t>NAMA0089</t>
  </si>
  <si>
    <t xml:space="preserve">Ethiopia's National Railway Network and Addis Ababa Light Rail Transit (LRT) NAMA </t>
  </si>
  <si>
    <t>NR-172</t>
  </si>
  <si>
    <t xml:space="preserve">Ethiopian Railways –Railway Academy NAMA </t>
  </si>
  <si>
    <t>NS-173</t>
  </si>
  <si>
    <t xml:space="preserve">Ethiopia Railways ­‐ Establishment of Climate Vulnerability Infrastructure Investment Framework NAMA </t>
  </si>
  <si>
    <t>NS-168</t>
  </si>
  <si>
    <t>Expansion of electricity generation from sustainable forestry biomass byproducts.</t>
  </si>
  <si>
    <t>NR-174</t>
  </si>
  <si>
    <t>NAMA0090</t>
  </si>
  <si>
    <t>Total support offered MUS$</t>
  </si>
  <si>
    <t>Total cost MUS$</t>
  </si>
  <si>
    <t>Amount of other International finance MUS$</t>
  </si>
  <si>
    <t>km of biking lanes, travel speed, nework coverage etc</t>
  </si>
  <si>
    <t>Government of Kenya (2007). Kenya: Vision 2030. Nairobi: Ministry of Planning and National Development and the National and Economic Council, Office of the Prime Minister. http://www.vision2030.go.ke</t>
  </si>
  <si>
    <t xml:space="preserve">The NAMA aims to start implementation during 2014 in up to four small and medium-sized cities, before expanding to further 18 cities by 2016 and in 15 cities until 2020. </t>
  </si>
  <si>
    <t xml:space="preserve">Reduction of flaring and Improvement of energy performance in new and existing residential, service and public buildings and in transportation (passenger cars, trucks, buses, special purpose vehicles). </t>
  </si>
  <si>
    <t>This NAMA will improve electrical, fossil fuel, and water efficiency in the residential sector by a ‘whole house’ approach. From this perspective, efficiency benchmarks are set for total primary energy demand based on building type and climate.</t>
  </si>
  <si>
    <t xml:space="preserve">1) Promotion of zero and low emission vehicles in taxi fleets, municipality fleet and charging stations; 2) Incorporation of zero and low emission buses; 3) 6 km of new bicycle lanes, a pilot program for a bicycle sharing system; 4) New pedestrian streets, exclusive lanes for ZLEV buses and bicycle parking.
</t>
  </si>
  <si>
    <t xml:space="preserve">Compact cities, where non-motorized and transit modes are easier to use. </t>
  </si>
  <si>
    <t>Number of TOD neighborhoods initiated in Colombia both inside and outside pilot cities. Per capita GHG emissions difference between TOD and non-TOD neighborhoods.</t>
  </si>
  <si>
    <t>Establishing financing mechanisms for Distributed Generation options, and a Guarantee Fund for attracting commercial banks to finance at at consumer end level. Detailed documentation (legislative document, operating procedures, guidelines, implementation mechanisms etc.) will be developed</t>
  </si>
  <si>
    <t>Since 2011, the GoP has established an Alternative Energy Development Fund (AEDF). This is expected to have the capacity to effectively handle the RLF.</t>
  </si>
  <si>
    <t>The GoP is now planning to generate 3,000 MW through ARE Distributed Generation (DG) by 2020; and 5% of the total power generation through renewable energy and more significantly through wind energy sources by 2030</t>
  </si>
  <si>
    <t>Establishing regulation &amp; financing mechanisms</t>
  </si>
  <si>
    <t xml:space="preserve">Law No. 64-00; General Law on Environment and Natural Resources, Decree No. 601-08, Climate Change Development Plan (CCDP), Law 57-07 on Renewable Sources of Energy Incentives and its Special Regimes. Law 1-12 of the National Development Strategy. </t>
  </si>
  <si>
    <t>As part the Policy for the Costa Rican Agrifood Sector and Rural Development 2010-2021, in early 2013, it was decided to develop a NAMA for the sector.</t>
  </si>
  <si>
    <t>To strengthen the institutional, economic and social capacities of producers, livestock chambers, industry and environmental awareness of consumers</t>
  </si>
  <si>
    <t>Prior activities: BMZ: €210 K Apr 2013- Oct 2014; Foreign &amp; Commonwealth Office (FCO) UK: €107 K Apr 2013- Oct 2014; German Minister for Foreign Affairs: €75 K Jun 2014 – Dec 2014; Technical &amp; capacity building: GIZ Local subsidy: NGO PIDES for piloting phase Apr 2013 - Oct 2014.</t>
  </si>
  <si>
    <t xml:space="preserve">A: Institutional framework for TOD implementation; B: TOD regulatory framework established; C: Detailed TOD implementation plan for 10 stations of the Addis Ababa Light Rail Transit; D: Structured debt fund is designed; E: MRV system developed.  </t>
  </si>
  <si>
    <t xml:space="preserve">Ethiopian Railway Corporation (ERC) </t>
  </si>
  <si>
    <t xml:space="preserve">The Government of Ethiopia through ERC </t>
  </si>
  <si>
    <t xml:space="preserve">The requested support is to be used to carry out a feasibility and need assessment study for a future Railway Academy as well as to propose content of relevant curricula. Once a feasibility study is being completed, ERC will request support to implement the Railway Academy through a NAMA for  implementation. </t>
  </si>
  <si>
    <t xml:space="preserve">SOCIAL: Improvements in quality of life (health, comfort). ECONOMIC: savings in energy costs.  
ENVIRONMENTAL: sustainable use of energy that results in GHG emissions reductions. </t>
  </si>
  <si>
    <t>Capacity building</t>
  </si>
  <si>
    <t xml:space="preserve">Reduced road maintenance, lower congestion, air pollution (NOx), noise and vibration pollution, traffic accidents, increase employment, social equity and tax revenues. Enhanced integration of Ethiopia with its East African neighbours.  </t>
  </si>
  <si>
    <t>The initial financing of the three railway routes and the Addis Ababa LRT has been successfully secured</t>
  </si>
  <si>
    <t>New railway lines</t>
  </si>
  <si>
    <t xml:space="preserve">1: Addis Ababa‐Modjo-Awash-Dire Dawa-Dewanl (656 km), 2:  Modjo-Shashemene-Arbaminch-Konso-Moyale (905 km), 3: Addis Ababa-Ijaji-Jimma-Guraferda‐Dima (740 km), 4: Ijaji-Nekemet-Assosa-Kumruk (460 km), 5: Awash-Kombolcha-Mekele-Shire (757 km), 6: Fenoteselam-Bahirdar-Wereta-Weldia-Semera-Elidar (734 km), 7: Wereta‐Azezo‐metema (244 km), 8: Adama-indeto-Gasera (248 km). 
</t>
  </si>
  <si>
    <t xml:space="preserve">The National Railway network (NRN), on its part, consists of 8 corridors of varying lengths in diversified  strategic  routes  that  will  be  realised  in  two  phases, covering over 5,000 km in distance. </t>
  </si>
  <si>
    <t xml:space="preserve">Vulnerability mapping will assure durability of the emission reductions attributed to the implementation of Ethiopia's National Railway Network and the Addis Ababa Light Railway Transit (LRT) project . </t>
  </si>
  <si>
    <t>Adaptation</t>
  </si>
  <si>
    <t>National Director of Energy &amp; National Director of Forestry</t>
  </si>
  <si>
    <t>The 224 MW is an expansion compared to NR-007.</t>
  </si>
  <si>
    <t xml:space="preserve">880 MW from wind, 7 MW for solar and 250 MW from biomass (forestry, rice and bagasse byproducts and black liquor).
</t>
  </si>
  <si>
    <t>MW generated a year from forestry biomass; number of plants installed; tons of forestry biomass used to generate energy.</t>
  </si>
  <si>
    <t>Jobs created; technology transfer and innovation; capacity building; increased in the energy independence; impact on balance of payment; broaden distributed power generation.</t>
  </si>
  <si>
    <t xml:space="preserve">Policies National Plan to Respond to Climate Change:
www.cambioclimatico.gub.uy
National Energy Policy: www.dne.gub.uy
Decrees related to renewable energy generation: www.probio.gub.uy and
www.mvotma.gub.uy/namas/index.php  </t>
  </si>
  <si>
    <t>429 MW of forestry biomass power will be installed between 2005 and 2018; 184 MW of that power will deliver electricity to the national grid.</t>
  </si>
  <si>
    <t>Vulnerability of Railway line</t>
  </si>
  <si>
    <t>Climate change mitigation through sustainable and more productive beef production in grasslands</t>
  </si>
  <si>
    <t>NAMA0091</t>
  </si>
  <si>
    <t>Ministry of Livestock, Agriculture and Fisheries (MGAP</t>
  </si>
  <si>
    <t xml:space="preserve">Assist livestock farmers to change their grasslands grazing practices, 2) To public and farmers institutions to perform MRV. The less ghg intensity (per kg of beef) will result from higher productivity and higher efficiency of the herd (higher calving rate, reduced age at slaughter, etc.). </t>
  </si>
  <si>
    <t xml:space="preserve">Higher biodiversity, more resilience to drought and higher soil organic matter increases water satorage capaciity. </t>
  </si>
  <si>
    <t>Removals estimates include only SOC. Additionally it is expected to reduce ghg emissions intensity per kg of beef by 30 percent.</t>
  </si>
  <si>
    <t>Increase soil organic matter</t>
  </si>
  <si>
    <t xml:space="preserve">Reduction of overgrazing, and consequently loss of soil organic matter (SOC) in the beef cattle sector. Productivity increase will a) sequester CO2 in SOC and b) decrease non-CO2 GHG emissions intensity. </t>
  </si>
  <si>
    <t>GHG reduction from cattle</t>
  </si>
  <si>
    <t xml:space="preserve">From year 5 at least 5 million hectares (50%) of uruguayan rangelands are managed with the alternative sustainable paradigme of adequate grazing pressure (eliminating overgrazing), calving rate grows from an average of 64% to 80%.  </t>
  </si>
  <si>
    <t>Resubmitted</t>
  </si>
  <si>
    <t>as NAMA0084</t>
  </si>
  <si>
    <t>Status2</t>
  </si>
  <si>
    <t>NAMA in Renewable Energy and Energy Efficiency</t>
  </si>
  <si>
    <t>Agence de l'Environnement et du Développement Durbale (AEDD)</t>
  </si>
  <si>
    <t>No information</t>
  </si>
  <si>
    <t>No detailed information</t>
  </si>
  <si>
    <t>Public-Private Clean Production Agreement (CPA), A CPA is a set of goals and specific actions to be implemented by the private sector. Govern ment cove 70% of the costs of the sustainability diagnosis of the sector, audits, technical assistance, training, certification, impact study, and overall coordination of the CPA.</t>
  </si>
  <si>
    <t>National government incentives to change. Multilevel interaction happened.</t>
  </si>
  <si>
    <t>Development of pilot sites that will be established in different types of forests and land ssuitable to forestation. Pilot units for the Generation and Trading of Forest Carbon Credits (PBCCh)</t>
  </si>
  <si>
    <t xml:space="preserve">These pilots will include improvements in land titling processes,the identification and implementation of more appropriate forest management techniques,the generation of sub‐national reference levels and MRV systems, among others issues related to forestry carbon projects. </t>
  </si>
  <si>
    <t>Introduction of carbon market (in the forest sector).</t>
  </si>
  <si>
    <t>Government housing programme for 20,000 new houses for lower income families.</t>
  </si>
  <si>
    <t>60 m2 houses for 3 persons. The technologies proposed for inclusion in the Program are solar water heaters and CFLs.</t>
  </si>
  <si>
    <t>National government incentives to change.</t>
  </si>
  <si>
    <t>Goal for a rapid large scale GHG reduction.</t>
  </si>
  <si>
    <t>System analysis of 20%, 25% and 30% wind in the electicity grid. The goal of this Program is to have a full analysis of the electric system expansion in Uruguay with high levels of wind power.</t>
  </si>
  <si>
    <t xml:space="preserve">a) Review of successful experiences in countries that already have a high integration of wind power. b) Analysis of existing regulations in Uruguay and identification of rules to be developed. c) Cooperation in the development of appropriate grid codes. d) Identification of critical scenarios. e) Training in tools for network studies and wind farms modelling. f) Development of studies and analysis of results. g) Critical analysis of the expansion plans. h) Capacity analysis of the electric system to meet the demand peaks and fluctuations in wind generation. i) Analysis of existing tools in the world and in Uruguay regarding weather and wind generation forecasts. j) Review of operational planning methodologies in countries with high wind power integration. Critical analysis of operational planning system in Uruguay and identification of changes to be made to integrate high levels of wind generation. k) Visit to control and dispatch centers from systems with high wind integration around the world. Capacity building regarding operation and system dispatch with high levels of wind integration. </t>
  </si>
  <si>
    <t>Building the first two solar farms (pilots) connected to the grid in order to test the technologies and their performance.</t>
  </si>
  <si>
    <t>After these 2 plants, the objective is to lead a continuous expansion of this technologies, willing to achieve de goal of 200 MW in 2020.</t>
  </si>
  <si>
    <t>Diversifying the national energy mix to have thermal back-up for increasing the renewable energy.</t>
  </si>
  <si>
    <t>Build LNG terminal to increase the supply of natural gas.</t>
  </si>
  <si>
    <t>880 MW from wind, 7 MW for solar and 250 MW from biomass (forestry, rice and bagasse byproducts and black liquor).</t>
  </si>
  <si>
    <t>Energy Policy goal of minimum 50% renewable energy sources in the energy supply mix in 2015. Tax benefits for renewable energy.</t>
  </si>
  <si>
    <t>Developmen of Low-C Urban Transport policy. Pilot implementation in Medan, Menado &amp; Batam. Aim at upscaling the policies of the pilot phase to more Indonesian cities</t>
  </si>
  <si>
    <t>At national level, development of a Policy Framework for Sustainable, Low‐carbon Urban Transport, comprising a regulatory framework, co‐financing of local measures, capacity building, practical guidelines for local planning, and overall MRV of the actions. At the local or provincial level, development, implementation and MRV of Comprehensive Urban Low‐carbon Mobility Plans. The sustainable transport policies covered include a tailor‐made mix of ‘push’ and ‘pull’ measures for each city, including high quality public transport, non‐motorised transport, parking management, traffic management, spatial planning, alternative fuels and vehicle efficiency.</t>
  </si>
  <si>
    <t>First of its kind project. The project will be replicated, model for similar projects in other areas of the country. Goal for a rapid large scale GHG reduction.</t>
  </si>
  <si>
    <t>Address technical and financial barriers to small-scale renewable energy systems for self-supply in industrial, agricultural and commercial sectors, through financial instruments, technical support, and outreach and awareness with the support from the Renewable Energy Centre.</t>
  </si>
  <si>
    <t xml:space="preserve"> 1. Financial component: i) Preinvestment grants ii) Fund for renewable energy investments 2. Technical Support component: i) Training and capacity building. ii) Technical help desk : A technical help desk will be set up to provide a central entry point for project developers and other stakeholders in the self supply RE technology market.</t>
  </si>
  <si>
    <t>NAMA0092</t>
  </si>
  <si>
    <t>NS-175</t>
  </si>
  <si>
    <t>Federal Road Freight Transport NAMA for owner operators and smaller fleet carriers</t>
  </si>
  <si>
    <t>Ministry of the Environment and Natural Resources (Secretaría de Medio Ambiente y Recursos Naturales)</t>
  </si>
  <si>
    <t>Improve energy efficiency in the federal road freight transport sector through the modernization of the fleet, the inclusion of technologies and training programs.</t>
  </si>
  <si>
    <t>1. Include «Eco-driving» courses for truck drivers as a part of the mandatory courses every two years. 2. Improve aerodynamics, automatic inflating systems (AIS), among others. 3.  Modernization of the vehicle fleet, via the scrapping and renovation of road transport fleet and the NOM-044-SEMARNAT.</t>
  </si>
  <si>
    <t>More efficient trucks</t>
  </si>
  <si>
    <t>Positive impact on public health through the reduction of criteria pollutant emissions (particulate matter, black carbon, carbon monoxide and nitrogen dioxide, among others). Increasing job opportunities for owner operators and smaller fleet carriers. Improvement of road safety.</t>
  </si>
  <si>
    <t>The NAMA is based on the following two existing government programs: 1.“Transporte Limpio” (SEMARNAT): A voluntary market-driven partnership program which promotes eco-driving courses and fleet upgrades with various fuel saving technologies and by reducing idling time. 2.Scrapping Scheme and Financial Scheme (SCT): These schemes promote the renewal of old trucks with modern ones.</t>
  </si>
  <si>
    <t>Introduction of technology standards/performance standards. Enhanced capabilities of actors.</t>
  </si>
  <si>
    <t xml:space="preserve">Catalyse the installation of the first facilities for industrial and commercial organic waste management in Chile. The National Program has been designed to address the financial, economic, cultural and social barriers for the development of organic waste management facilities in Chile. </t>
  </si>
  <si>
    <t>Pilot projects for steam &amp; hot water for laundry, swimming pools, kitchens, cooling</t>
  </si>
  <si>
    <t>Installing a small generation plant with an output of 5 megawatts. The intention of the Government is to have a 120MW facility constructed along with a submarine interconnection between Dominica and the islands of Guadeloupe and Martinique.</t>
  </si>
  <si>
    <t>Technological innovation. First of its kind project. Goal for a rapid large scale GHG reduction.</t>
  </si>
  <si>
    <t>Annual heat energy consumption for new building will decrease from 100 to 60 kWh/m2/year, and for new non-residential building from 110 to 70 kWh/m2/year.</t>
  </si>
  <si>
    <t>Improvement of regulation.  Introduction of mandatory energy metering.</t>
  </si>
  <si>
    <t>Technological innovation.</t>
  </si>
  <si>
    <t>None</t>
  </si>
  <si>
    <t>Sectoral programm: Refurbishment of 23 schools and 26 hospitals.</t>
  </si>
  <si>
    <t>Upgrading the building envelope (e.g. insulating walls, roofs, ceiling, basement; replacing windows; etc.), and upgrading the heating system (equipment and controls – both central plant and local terminal units).</t>
  </si>
  <si>
    <t>Sectoral programme: Installation of 1000 MW of new biomass boilers for all residential, commercial and industrial sectors.</t>
  </si>
  <si>
    <t>JICA supported NAMA proposal.</t>
  </si>
  <si>
    <t xml:space="preserve">The objective of this project is rehabilitation of about 10% of the existing residential buildings in Serbia that were built in the period from 1950’s to 1980’s without any thermal insulation (10 million m2). </t>
  </si>
  <si>
    <t>Thermal insulation, partitions to unheated spaces, roofs, ceilings, etc.  Replacement of windows. Installing new five-chamber PVC frames, double glazing, low-emissivity glass, filled with argon gas.</t>
  </si>
  <si>
    <t>Improved pavement on 324 km road.</t>
  </si>
  <si>
    <t>An uneven road can increase fuel consumption by up to 12% relative to an even road. A rough macrotexture may increase fuel consumption by 7% relative to a very smooth macrotexture. Fuel consumption for a car may be influenced as much as 12% by road surface characteristics.</t>
  </si>
  <si>
    <t>National government incentives to change/disincentives to no change.</t>
  </si>
  <si>
    <t>Rehabitation Of Al‐Akaider Landfill</t>
  </si>
  <si>
    <t>Phase 1: construction of 9 plants in existing places. Phase 2: constuction of 3 plant at new places</t>
  </si>
  <si>
    <t>The project will be replicated, model for similar projects in other areas of the country.</t>
  </si>
  <si>
    <t>10% renewable share by the year 2020 through uilding 2000 MW of renewable energy power plants (Wind, Solar, Waste to Energy)</t>
  </si>
  <si>
    <t>Goal for a rapid large scale GHG reduction</t>
  </si>
  <si>
    <t>Prepare plan to reduce the specific energy consumption per m3 of produced water (see NS-26)</t>
  </si>
  <si>
    <t>Reduce the specific energy consumption per m3 of produced water (see NS-25)</t>
  </si>
  <si>
    <t>The Water Authority of Jordan is the largest electricity consumer in the country , using about 15% of Jordan's national energy production.</t>
  </si>
  <si>
    <t>The project will be replicated, model for similar projects in other areas of the country</t>
  </si>
  <si>
    <t>Prepare MRV for 5 of the most feasible actions.</t>
  </si>
  <si>
    <t>None.</t>
  </si>
  <si>
    <t>42% larger than the CDM project:Samra 300 MW combined cycle project (ref=4958)</t>
  </si>
  <si>
    <t xml:space="preserve">Approximately 140 MW Steam Turbine Generator add-on. Heat Recovery Steam Generators and all  systems to utilize the existing Gas turbines exhust temperature to generate power with zero fuel addition. </t>
  </si>
  <si>
    <t>Reuse of industrial wastewater (not potable), thereby reducing energy consumption for water and groundwater pumping.</t>
  </si>
  <si>
    <t>1.Pretreatmen line to reduce COD &amp; BOD, 2. aerobical biological stage, 3.polishing water for its intended use.</t>
  </si>
  <si>
    <t>The Zarqa River Basin Industrial Waste Water Treatment Plant and Energy Plant (ZIWWTEP)</t>
  </si>
  <si>
    <t>Reuse of alternative materials from municipal and industrial wastes in cement production</t>
  </si>
  <si>
    <t>Milestones/Key Performance Indicators. Improved regulation.</t>
  </si>
  <si>
    <r>
      <t>Reduction of CH</t>
    </r>
    <r>
      <rPr>
        <vertAlign val="subscript"/>
        <sz val="10"/>
        <rFont val="Arial"/>
        <family val="2"/>
      </rPr>
      <t>4</t>
    </r>
    <r>
      <rPr>
        <sz val="10"/>
        <rFont val="Arial"/>
        <family val="2"/>
      </rPr>
      <t xml:space="preserve"> emission by minimization and/or elimination of fugitive and black carbon emissions in the process, transport and distribution of national gas.</t>
    </r>
  </si>
  <si>
    <t>Wet by dry seals substitution, Black carbon emission reductions through the installation of pilot flame lighter electronic devices at the natural gas burners.</t>
  </si>
  <si>
    <t>Prefeasibility study made.</t>
  </si>
  <si>
    <t>Cost of NAMA preparation from UK embassy in Mexico</t>
  </si>
  <si>
    <t>"EMISSION REDUCTION ACTIONS PROGRAM (NAMA) IN NATURAL GAS PROCESSING, TRANSPORT AND DISTRIBUTION SYSTEMS, THROUGH FUGITIVE EMISSION REDUCTION"</t>
  </si>
  <si>
    <r>
      <t>Reduction of fugitive CH</t>
    </r>
    <r>
      <rPr>
        <vertAlign val="subscript"/>
        <sz val="10"/>
        <rFont val="Arial"/>
        <family val="2"/>
      </rPr>
      <t>4</t>
    </r>
    <r>
      <rPr>
        <sz val="10"/>
        <rFont val="Arial"/>
        <family val="2"/>
      </rPr>
      <t xml:space="preserve"> emissions in the process, transport and distribution of national gas by cogeneration projects in the Oil and Gas sector in Mexico</t>
    </r>
  </si>
  <si>
    <t>The restoration of 45.000 hectares of forest will substantially enhance carbon sequestration and storage.</t>
  </si>
  <si>
    <t>Comfort for homeowners, Access to clean energy, Capacity building in sustainability for developers and homeowners, Economic savings, green jobs, Air Quality improvements and efficient Land Use.</t>
  </si>
  <si>
    <t>The proposed NAMA activities are in line with the National Energy Conservation Policy, 2006 and National Climate Change Policy, 2012 of Pakistan.</t>
  </si>
  <si>
    <t>Introduction of technology standards/performance standards. Introduction of mandatory energy labeling.</t>
  </si>
  <si>
    <t>The objective of this NAMA is to expand the scope of the New Residential Buildings NAMA to achieve higher energy efficiency and GHG mitigation.</t>
  </si>
  <si>
    <t>Feed-in Tariffs with a purchase obligation, stable tariff over a long period of time.</t>
  </si>
  <si>
    <t>Information campain performed.</t>
  </si>
  <si>
    <t>The STGZ is comprised of four specific initiatives to promote low carbon emission transport modes that would be implemented within a defined area which includes the Historic Triangle of the city center of Santiago. It is highly replicable in other cities.</t>
  </si>
  <si>
    <t>Santiago</t>
  </si>
  <si>
    <t>One of the main conclusions of the multistakeholder process to develop the STGZ is that it must be considered as a pilot project with a vast potential for redefining the urban transportation model with a new focus on integrated and sustainable transport.</t>
  </si>
  <si>
    <t>Piloting of an urban NAMA in the Prigorodnoye district of Astana through investments in modernization and upgrading of the urban infrastructure, with the objective of achieving the country’s voluntary GHG emission reduction target.</t>
  </si>
  <si>
    <t>Goal for a rapid large scale GHG reduction. National government incentives to change/disincentives to no change.</t>
  </si>
  <si>
    <t>Increased funding for technological R&amp;D&amp;D.</t>
  </si>
  <si>
    <t>Introduction of supplementary cementitious materials (SCM) that can replace up to 70% of cement in concrete, establishment a 350,000 t/y SCM production facility, the design of supportive policies and management of the standardization process.</t>
  </si>
  <si>
    <t>This NAMA was mentioned in the submission to the Copenhagen accord from Mongolia.</t>
  </si>
  <si>
    <t>Reduction, recycling and reuse of solid waste in Kampala. The NAMA will target the 60% of solid waste in Kampala that is not collected by the Kampala Capital City Authority (KCCA).</t>
  </si>
  <si>
    <t>The National Climate Change Policy of 2013 promote sustainable use of solid and liquid wastes for energy generation and other uses, such as fertilisers; and promote proper disposal and sustainable use of waste.</t>
  </si>
  <si>
    <t xml:space="preserve">Tax reduction or price support for renewables and energy efficiency. </t>
  </si>
  <si>
    <t>• Background and feasibility studies :  US$ 100,000
• Technical assessments and designs: US$ 40,000
• Consultations with stakeholders : US$ 20,000
• Work plans, including specific activities and elements: US$  10,000
• Capacity Building: US$ 30,000</t>
  </si>
  <si>
    <t>More detailed NAMA proposal attached</t>
  </si>
  <si>
    <t>Information campain performed. First of its kind project.</t>
  </si>
  <si>
    <t>Exploring appropriate feeding strategies that increase productivity while at the same time reduce methane emissions from enteric fermentations.</t>
  </si>
  <si>
    <t>Livestock farms</t>
  </si>
  <si>
    <t xml:space="preserve">The NAMA will assist in reducing pollution loads from agro-processing factories on surface water systems, especially the Lake Victoria basin. Feasibility study for 14 fish factories and abattoirs.
</t>
  </si>
  <si>
    <t xml:space="preserve">Fish factories and abattoirs.
</t>
  </si>
  <si>
    <t>Multilevel interaction.</t>
  </si>
  <si>
    <t xml:space="preserve">Currently, the main document of the NAMA is under development. Nevertheless, financial support is required to finish the main NAMA document, design the MRV mechanism and design a pilot project. </t>
  </si>
  <si>
    <t>Reduced deforestation; improvements on the final user's economy; reduced indoor pollution.</t>
  </si>
  <si>
    <t xml:space="preserve">Create new job posts; Produce environmental awareness in the community. </t>
  </si>
  <si>
    <t xml:space="preserve">Substitution of 500 thousand vehicles with an age of 15 years or older with new vehicles in order to renew the national fleet. 
</t>
  </si>
  <si>
    <t>High-carbon barriers are overcome.</t>
  </si>
  <si>
    <t>Low Emission Schools Programme aims to empower students to effectively influence their communities on climate change and sustainability, while reducing CO2 emissions within the school. This programme is carried out through actions led by the educational community.</t>
  </si>
  <si>
    <t>TOD provisions are being incorporated in the Addis Ababa City Master Plan. The north-south &amp; east-west Light Rail is being built.</t>
  </si>
  <si>
    <t>Shift of freight and passenger transport from road to rail. In Addis Ababa Light Rail Transit (LRT) the ERC will with the City of Addis Ababa plan pilot Transit Oriented Development (TOD), which promotes mixed use public, residential and commercial areas, favour non-motorized modes of transport.</t>
  </si>
  <si>
    <t xml:space="preserve">The Railway Academy will serve the following functions: Training of personel; To promote preparation and review of railway sector policy  documents;  Organize and facilitate railway sector workshops and seminars;  promote research and development. 
</t>
  </si>
  <si>
    <t xml:space="preserve">The electric  rail network is assumed to transport 50% of dry and liquid cargo by 2030. </t>
  </si>
  <si>
    <t>Forestry biomass</t>
  </si>
  <si>
    <t>Increased share of biomass use in the power plants. Biomass from forest plantations and industries (sawmills, board manufacturing and pulp mills).</t>
  </si>
  <si>
    <t>Goal for a rapid large scale GHG reduction. Sustainable development goals incentivice the transition.</t>
  </si>
  <si>
    <t>Support0015</t>
  </si>
  <si>
    <t>S-186</t>
  </si>
  <si>
    <t>UNDP MDG Carbon</t>
  </si>
  <si>
    <t>Africa, Asia, LDC, SIDS</t>
  </si>
  <si>
    <t>All except geothermal, Ocean,CCS &amp; landfill</t>
  </si>
  <si>
    <t>UNDP MDG Carbon template attached.  www.mdgcarbon.org</t>
  </si>
  <si>
    <t xml:space="preserve">MDG Carbon provides targeted technical and financial support for the detailed design of a NAMA Design Document, so that the programme will be ready for implementation once funding is secured. </t>
  </si>
  <si>
    <t>UNDP in Australia</t>
  </si>
  <si>
    <t>Germany, United K., Denmark, EU</t>
  </si>
  <si>
    <t>NAMA0093</t>
  </si>
  <si>
    <t>NAMA0094</t>
  </si>
  <si>
    <t>NAMA0095</t>
  </si>
  <si>
    <t>NAMA0096</t>
  </si>
  <si>
    <t>NAMA0097</t>
  </si>
  <si>
    <t>NS-188</t>
  </si>
  <si>
    <t>Expansion of combined cycle power plant in Nasiriyah</t>
  </si>
  <si>
    <t>Syria</t>
  </si>
  <si>
    <t>Installing an extra station with a combined cycle unit working on gas or fuel oil.</t>
  </si>
  <si>
    <t>Includes : design , manufacture, supply, transportation, insurance, testing and implementation of civil works, installation and operation of machinery and equipment needed</t>
  </si>
  <si>
    <t>Public Establishment for Electrical Generation</t>
  </si>
  <si>
    <t>Single cycle to combined cycle</t>
  </si>
  <si>
    <t xml:space="preserve"> Achieve  economic and social development while preserving the natural sources</t>
  </si>
  <si>
    <t>NS-191</t>
  </si>
  <si>
    <t>Combined cycle power plant in the coastal area</t>
  </si>
  <si>
    <t xml:space="preserve">Includes installation of a station for receiving, storage, treatment  and transport of liquefied gas with capacity of 5 million cubic meters per day, in addition to supply of spare parts and  equipments needed, and conducting of a  training program to ensure operating and investment securely.
</t>
  </si>
  <si>
    <t>The purpose of the project is to design, manufacture, supply, transportation, insurance, testing a combined cycle power plant in the coastal area with capacity of 350 MW ±10% . This plant works on natural  gas  as primary fuel or  fuel oil . as secondary fuel.</t>
  </si>
  <si>
    <t xml:space="preserve">Solar electric power plant </t>
  </si>
  <si>
    <t>NS-192</t>
  </si>
  <si>
    <t xml:space="preserve">Installation of Solar electric power plant with capacity of 1 MW within the conversion station of AlKiswah area near Damascus. </t>
  </si>
  <si>
    <t xml:space="preserve">Windfarm in Ghabagheb </t>
  </si>
  <si>
    <t>NS-193</t>
  </si>
  <si>
    <t>NS-194</t>
  </si>
  <si>
    <t>On-shore wind</t>
  </si>
  <si>
    <t xml:space="preserve">The project includes  supplying  of spare parts and  equipments needed, and conducting of a  training program to ensure operating and investment securely.
</t>
  </si>
  <si>
    <t>Windfarm in Quttaineh</t>
  </si>
  <si>
    <t>The purpose of the project is to design, manufacture, supply, transportation, insurance, testing and implementation of civil works, installation and operation of machinery and equipment needed for establishing a  wind farm with capacity of 50 MW in Ghabagheb south of Damascus.</t>
  </si>
  <si>
    <t>The purpose of the project is to design, manufacture, supply, transportation, insurance, testing and implementation of civil works, installation and operation of machinery and equipment needed for establishing a  typical wind farm at the north border of Lake Quttaineh- southern of Homs governorate with capacity of 50 MW.</t>
  </si>
  <si>
    <t>Homs</t>
  </si>
  <si>
    <t>Damaskus</t>
  </si>
  <si>
    <t>Achieve  economic and social development while preserving the natural sources.                                   Raise national income and the development of industrial enterprises.</t>
  </si>
  <si>
    <t>Support0016</t>
  </si>
  <si>
    <t>S-195</t>
  </si>
  <si>
    <t>FAO Learning tool on Nationally Appropriate Mitigation Actions (NAMAs) in the agriculture, forestry and other land use (AFOLU) sector</t>
  </si>
  <si>
    <t>FAO</t>
  </si>
  <si>
    <t>Access to NAMA tool</t>
  </si>
  <si>
    <t>National government incentives to change. Financial to support for renewables and energy efficiency.</t>
  </si>
  <si>
    <t>Goal for a rapid large scale GHG reduction. Improved regulation.</t>
  </si>
  <si>
    <t>Enhanced capabilities of actors. First of its kind project.</t>
  </si>
  <si>
    <t>Milestones/Key Performance Indicators.</t>
  </si>
  <si>
    <t xml:space="preserve">Introduction of technology standards/ performan-ce standards </t>
  </si>
  <si>
    <t>Introduction of technology standards/performance standards.</t>
  </si>
  <si>
    <t>Payment for district heating changed from payment per floor area to heat consumption</t>
  </si>
  <si>
    <t>In line with The First Energy efficiency Plan of the Republic of Serbia for the period 2010 to 2012</t>
  </si>
  <si>
    <t>First of its kind project. Increased awarenes on Climate Change in governmental/municipal institutions.</t>
  </si>
  <si>
    <t>Information campain performed. Multilevel interaction. High local involvement in the project.</t>
  </si>
  <si>
    <t>Rural Development in Namibia through Electrification with Renewable Energies</t>
  </si>
  <si>
    <t>NS-196</t>
  </si>
  <si>
    <t>NAMA0098</t>
  </si>
  <si>
    <t>In its first phase, the NAMA aims to establish 10 mini grids and 13 Energy Zones. This will provide electricity to around 1,400 households and around 8,500 people. supply form solar, wind, and hydro.</t>
  </si>
  <si>
    <t xml:space="preserve">Intervention A, mini grids will be established in rural communities in the vicinity of schools and potential future tourism projects, such as Eco lodges.  Intervention B will support the installation of Energy Zones (EZs). </t>
  </si>
  <si>
    <t>Off-grid renewables</t>
  </si>
  <si>
    <t>Wind, solar, hydro</t>
  </si>
  <si>
    <t xml:space="preserve">Environmental Investment Fund (EIF). Supported in technical issues by the Namibia Energy Institute (NEI). </t>
  </si>
  <si>
    <t>Australia</t>
  </si>
  <si>
    <t>Sectoral, system or sub-system changes, Sustainable development goals incentivice the transition,Financial support for renewable and energy efficiency.</t>
  </si>
  <si>
    <t>NS-197</t>
  </si>
  <si>
    <t>Linked to</t>
  </si>
  <si>
    <t>Thailand Refrigeration and Air Conditioning NAMA (RAC NAMA)</t>
  </si>
  <si>
    <t>NS-198</t>
  </si>
  <si>
    <t>NAMA0099</t>
  </si>
  <si>
    <t>NAMA0100</t>
  </si>
  <si>
    <t>Thailand</t>
  </si>
  <si>
    <t>Residential &amp; Service</t>
  </si>
  <si>
    <t xml:space="preserve">Refrigeration and Air Conditioning </t>
  </si>
  <si>
    <t>Office of Natural Resources and Environmental Policy and Planning (ONEP)</t>
  </si>
  <si>
    <t xml:space="preserve">The Refrigeration and Air Conditioning (RAC) sectors account for approximately 20% of the total Thai GHG missions. The sectoral emissions are projected to triple by 2030. Emissions are resulting from the use of high GWP refrigerants (10%) and energy consumption (90%).     
</t>
  </si>
  <si>
    <t>The NAMA comprehensively approaches four intervention areas 1) production &amp; sales of GreenRAC equipment, 2) use and servicing, 3) adapting the political and financial framework and 4) awareness raising on benefits and behavioural change.</t>
  </si>
  <si>
    <t xml:space="preserve">The NAMA bundles and leverages the existing financial mechanisms to promote energy efficient RAC devices through the GreenRAC Innovation Fund (GRIF). The NAMA seed funding to the GRIF is leveraged by 7-fold.
</t>
  </si>
  <si>
    <t>German Federal Ministry for the Environment, Nature Conservation, Building and Nuclear Safety (BMUB), the UK Department of Energy and Climate Change (DECC), the Danish Ministry of Climate, Energy and Building (MCEB) and the Ministry of Foreign Affairs as well as the European Commission</t>
  </si>
  <si>
    <t>NAMA0101</t>
  </si>
  <si>
    <t>Rural Electrification with Renewable Energy in The Gambia</t>
  </si>
  <si>
    <t>NS-199</t>
  </si>
  <si>
    <t>Ministry of Environment, Climate Change, Water, Forestry and Wildlife</t>
  </si>
  <si>
    <t>The 2013 Renewable Energy Act provides the framework for both on and off-grid renewable energy tariffs and net metering, as well as establishing a national RE Fund</t>
  </si>
  <si>
    <t xml:space="preserve">Key objectives are: (i)Increase the level of renewable energy for electricity
(ii)Reduce greenhouse gas emissions in the power generation sector. 
(iii)Increase the rural population’s access to sustainable electricity.
(iv)Encourage an increase in rural income generation, and improve rural livelihoods.
</t>
  </si>
  <si>
    <t>Phase 1 will include the establishment of two types of ventures: RE Community Energy Centres (RE-CEC) and RE Micro-Grids (RE-MGs). Phase 2 ventures will comprise RE systems which will displace thermal generation at existing regional grids (referred to as RE Displacement Systems – RE-DIS) and RE independent power producers (RE-IPPs).</t>
  </si>
  <si>
    <t>Buildings</t>
  </si>
  <si>
    <t>Energy supply</t>
  </si>
  <si>
    <t>Tourism</t>
  </si>
  <si>
    <t>Service</t>
  </si>
  <si>
    <t>Water</t>
  </si>
  <si>
    <t>Industry &amp; Agriculture &amp; Service</t>
  </si>
  <si>
    <t>Residentials &amp; transport</t>
  </si>
  <si>
    <t>Residential &amp; transport</t>
  </si>
  <si>
    <t>Residential</t>
  </si>
  <si>
    <t>Thermal insulation of old buildings</t>
  </si>
  <si>
    <t>NS-066</t>
  </si>
  <si>
    <t>NS-200</t>
  </si>
  <si>
    <t>Ministry of Industry, Energy and Mining</t>
  </si>
  <si>
    <t>Agricultural waste</t>
  </si>
  <si>
    <t>Laboratory research for target sectors identified in previous stages is carried on for technology development, adaptation, assessment and transfer.</t>
  </si>
  <si>
    <t>Creation of a Program focussed on the transformation of the differnet kinds of waste generated in the agriculture and agroindustry production chains in various types of energy or by products</t>
  </si>
  <si>
    <t>NAMA0102</t>
  </si>
  <si>
    <t>NAMA0103</t>
  </si>
  <si>
    <t>NAMA Support for the Tunisian Solar Plan</t>
  </si>
  <si>
    <t>NS-201</t>
  </si>
  <si>
    <t>National Agency for Energy Conservation of Tunisia (Agence Nationale pour la Maîtrise de l'Energie, ANME)</t>
  </si>
  <si>
    <t xml:space="preserve">The UNDP-GEF project (budget US$ 3.6 million GEF grant + US$ 65.4 million co-finance) has designed the NAMA and is financing specific elements of implementation: institutional strengthening and coordination, design of the Territorial Performance-Based Mechanism, MRV systems, investment support to a 10 MW solar PV plant at Tozeur and a 24 MW wind farm at Gabes.
</t>
  </si>
  <si>
    <t>Capacity building support are covered by the GEF support</t>
  </si>
  <si>
    <t xml:space="preserve"> Increasing social equality and reducing energy poverty, through increased access to quality and affordable energy services</t>
  </si>
  <si>
    <t>The Tunisian Solar Plan (TSP), originally formulated in 2009, was revised in 2012 with the financial support of the Agence Française de Développement (AfD) to achieve a total renewable energy penetration target of 30% of the Tunisian electricity generation mix by 2030.</t>
  </si>
  <si>
    <t>The technologies considered are wind, solar photovoltaic (PV) and concentrated solar power (CSP), with electricity generation contributions from each of 15%, 10% and 5% respectively of electricity production in 2030</t>
  </si>
  <si>
    <t xml:space="preserve">This NAMA covers clear long-term targets, a public instrument package to create an enabled investment environment, assessment of costs and incremental costs, assessment of socio-economic and environmental benefits, and MRV/indicators. This NAMA submission to the NAMA Registry is seeking financial support for: 
- Design and implementation of the sub-set of policy and financial de-risking instruments that are not already receiving GEF financial support in the context of the UNDP-implemented, GEF-financed project, 'NAMA Support to the Tunisian Solar Plan' .
- Funding for the premium payments required for solar PV electricity after de-risking (i.e. funding for the territorial performance-based mechanism, TPBM). </t>
  </si>
  <si>
    <t>Solar &amp; Wind</t>
  </si>
  <si>
    <t>The project will transform a sector</t>
  </si>
  <si>
    <t>First of its kind project.  The project will be replicated, model for similar projects in other areas of the country.  The project will transform a sector Improvement of regulation.</t>
  </si>
  <si>
    <t xml:space="preserve">The project will transform a sector. </t>
  </si>
  <si>
    <t>Goal for a rapid large scale GHG reduction. Financial support for low carbon technologies.</t>
  </si>
  <si>
    <t>Goal for a rapid large scale GHG reduction. The project will transform a sector.</t>
  </si>
  <si>
    <t>SD goal incentivice the transition.</t>
  </si>
  <si>
    <t>First of its kind project.</t>
  </si>
  <si>
    <t>Financial support for low carbon technologies. The project will transform a sector.</t>
  </si>
  <si>
    <t>First of its kind project.  The project will be replicated, model for similar projects in other areas of the country.  The project will transform a sector.  Improvement of regulation.</t>
  </si>
  <si>
    <t>First of its kind project. The project will be replicated, model for similar projects in other areas of the country. Experimentation and innovation in policy.</t>
  </si>
  <si>
    <t>Multilevel interaction.  Sustainable development goals incentivice the transition. The project will transform a sector. Introduction of carbon market.</t>
  </si>
  <si>
    <t>Risk minimization instrument introduced.  Learning from ongoing policies and actions. The project will transform a sector.</t>
  </si>
  <si>
    <t>Introduction of mandatory labeling. Information campain performed. Financial support for low carbon technologies</t>
  </si>
  <si>
    <t>Introduction of mandatory energy metering. The project will transform a sector. Financial support for low carbon technologies.</t>
  </si>
  <si>
    <t>Introduction of mandatory labeling. Information campain performed. Financial support for low carbon technologies.</t>
  </si>
  <si>
    <t>The project will transform a sector.</t>
  </si>
  <si>
    <t>The project will transform a sector. Negative incentives that discourage the continuation of business as ususal.</t>
  </si>
  <si>
    <t>SD goal or vision. The project will transform a sector.</t>
  </si>
  <si>
    <t>Political vision and leadership.The project will transform a sector. National government incentives to change/disincentives to no change. Multilevel interaction.</t>
  </si>
  <si>
    <t>Improvement of regulation.Financial support for low carbon technologies . Feed-in Tariffs with a purchase obligation, stable tariff over a long period of time. Risk minimi-zation instrument introduced.</t>
  </si>
  <si>
    <t>Introduction of mandatory energy labeling. Information campain performed. Financial support for low carbon technologies. Strenghen enforcement of existing laws.</t>
  </si>
  <si>
    <t>Improvement of regulation.Financial support for low carbon technologies.</t>
  </si>
  <si>
    <t>Improvement of regulation.  Information campain performed. Financial support for low carbon technologies. Actors create networks for low carbon transition.</t>
  </si>
  <si>
    <t>Enhanced capabilities of actors. Experimentation and innovation in the policy/project.</t>
  </si>
  <si>
    <t>Financial support for low carbon technologies. Multilevel interaction. Introduction of technology standards/performance standards.</t>
  </si>
  <si>
    <t>Information campain performed. First of its kind project. Change to public transport</t>
  </si>
  <si>
    <t>Multilevel interaction. Negative incentives that discourage the continuation of business as ususal.Introduction of technology standards/ performan-ce standards.</t>
  </si>
  <si>
    <t>The programme will transform a sector</t>
  </si>
  <si>
    <t>Negative incentives that discourage the continuation of business as ususal. Introduction of technology standards/performance standards .</t>
  </si>
  <si>
    <t>The project will transform a sector.  Sustainable development goals incentivice the transition.</t>
  </si>
  <si>
    <t>The project will transform a sector. High-carbon barriers are overcome.</t>
  </si>
  <si>
    <t>Political vision and leadership. The project will transform a sector. National government incentives to change/disincentives to no change. Multilevel interaction. Change to electrified railways.</t>
  </si>
  <si>
    <t>The project will transform a sector. High local involvement in the project. MRV frameworks informs transition management. Information campain performed.</t>
  </si>
  <si>
    <t>Experimentation and innovation in the policy/project. Enhanced capabilities of actors.</t>
  </si>
  <si>
    <t>Support0017</t>
  </si>
  <si>
    <t>S-204</t>
  </si>
  <si>
    <t>Climate Technology Centre and Network (CTCN) Technical Assistance</t>
  </si>
  <si>
    <t>Climate Technology Centre and Network (CTCN)</t>
  </si>
  <si>
    <t>UNFCCC</t>
  </si>
  <si>
    <t>Technical Assistance to Developing countries through their Nationally Designated Entities to the CTCN on their request.</t>
  </si>
  <si>
    <t>If you are an NDE that is registered with the CTCN, you can submit a request. Alternatively download the request form, complete it and send to ctcn@unep.org. Request forms are available for download at on http://www.ctc-n.org/technical-assistance/submit-request</t>
  </si>
  <si>
    <t>Access to technical assistance</t>
  </si>
  <si>
    <t>Ministry of Environment and Energy (MINAE) &amp; Ministry of Agriculture and Livestock (MAG) &amp; UNDP Costa Rica</t>
  </si>
  <si>
    <t>Reduction of enteric fermentation. Hedges-pasture sections; Rational grazing; Pasture Improvement-feeding; Improved fertilization plans. Pilot farms will be established and funded in the five regions of the country</t>
  </si>
  <si>
    <t>Support0018</t>
  </si>
  <si>
    <t>S-205</t>
  </si>
  <si>
    <t xml:space="preserve">UNDP Low Emission Capacity Building Programme (LECB Programme) </t>
  </si>
  <si>
    <t>EU, Germany &amp; Australia</t>
  </si>
  <si>
    <t>UNDP New York</t>
  </si>
  <si>
    <t>The LECB Programme is active in 25 countries: Argentina, Bhutan, Chile, China, Colombia, Costa Rica, DRC, Ecuador, Egypt, Ghana, Indonesia, Kenya, Lebanon, Malaysia, Mexico, Moldova, Morocco, Peru, Philippines, Tanzania, Thailand, Trinidad and Tobago, Uganda, Vietnam and Zambia.</t>
  </si>
  <si>
    <t>Identification and formulation of NAMAs, Low emission development strategies (LEDS), mitigation actions in selected industries with the participation of the private sector, the strengthening of GHG inventory management systems and the design of Measurement, Reporting and Verification (MRV) systems.</t>
  </si>
  <si>
    <t>Support0012</t>
  </si>
  <si>
    <t>Support to Integrated E-Waste Management System for State of Sabah, Malaysia</t>
  </si>
  <si>
    <t>NS-202</t>
  </si>
  <si>
    <t>Malaysia</t>
  </si>
  <si>
    <t>NS-189</t>
  </si>
  <si>
    <t>NS-155</t>
  </si>
  <si>
    <t>Fuel Efficiency in Motor Vehicles</t>
  </si>
  <si>
    <t>NAMA0104</t>
  </si>
  <si>
    <t>NAMA0105</t>
  </si>
  <si>
    <t>NAMA0106</t>
  </si>
  <si>
    <t>This NAMA is linked to another NAMA (NS-158), "Periodic vehicle inspection for emissions and roadworthiness", which describes the: i) pre-Shipment inspection for vehicles imported into Uganda and ii) periodic inspection and certification for roadworthiness for vehicles in Uganda</t>
  </si>
  <si>
    <t>The NAMA would reduce emissions on a per vehicle basis through a Fuel Efficiency Initiative designed to increase fuel efficiency in light- and heavy-duty vehicles.</t>
  </si>
  <si>
    <t>Development of a fuel efficiency policy; development of a regulatory framework for vehicle age, vehicle emissions, and fuel standards; vehicle inspection and maintenance; tax incentives to encourage acquisition of more fuel efficient vehicles; fiscal incentives for a vehicle replacement scheme; and a public information campaign.</t>
  </si>
  <si>
    <t>New regulatory framework</t>
  </si>
  <si>
    <t xml:space="preserve">Improved health, improved local air quality, employment creation, foreign exchange savings. </t>
  </si>
  <si>
    <t>Mangroves</t>
  </si>
  <si>
    <t xml:space="preserve">Conservation and restoration </t>
  </si>
  <si>
    <t xml:space="preserve">Mangroves declined from 34,400 ha in 1980 to 21,215 ha in 1998 </t>
  </si>
  <si>
    <t>National Council for Climate Change and Clean Development Mechanism</t>
  </si>
  <si>
    <t>Base study conducted by Counterpart International in 2013 in Montecristi National Park.</t>
  </si>
  <si>
    <t>Counterpart International will support the Climate Council in the Financial, Technical, and Capacity Building areas</t>
  </si>
  <si>
    <t xml:space="preserve">Attached article: "Carbon stocks of intact mangroves and carbon emissions arising from their conversion in the Dominican Republic" </t>
  </si>
  <si>
    <t>Quantify the carbon sink capacity of Mangroves in the Dominican Republic through a comprehensive inventory. Develop national strategies to restore and reforest mangrove systems. Establish a Blue Carbon NAMA Knowledge Toolkit that facilitates knowledge transfer to other countries.</t>
  </si>
  <si>
    <t>Preparation of a robust Design, encompassing capacity-building, technical assistance, planning for financial mechanisms for long-term financing and sustainability, sound scientific research, and wide-ranging participation.  It will ensure that by the end of the Preparation phase that the country will be prepared to enter the Implementation phase.</t>
  </si>
  <si>
    <t>NS-203</t>
  </si>
  <si>
    <t>NS-206</t>
  </si>
  <si>
    <t>NS-207</t>
  </si>
  <si>
    <t>NS-208</t>
  </si>
  <si>
    <t>NS-209</t>
  </si>
  <si>
    <t>NS-210</t>
  </si>
  <si>
    <t>NS-211</t>
  </si>
  <si>
    <t>NS-212</t>
  </si>
  <si>
    <t>NAMA0107</t>
  </si>
  <si>
    <t>NAMA0108</t>
  </si>
  <si>
    <t>NAMA0109</t>
  </si>
  <si>
    <t>NAMA0110</t>
  </si>
  <si>
    <t>NAMA0111</t>
  </si>
  <si>
    <t>NAMA0112</t>
  </si>
  <si>
    <t>NAMA0113</t>
  </si>
  <si>
    <t>NAMA0114</t>
  </si>
  <si>
    <t>Waste-to-Energy (WtE) and improved waste management practices in Kigali</t>
  </si>
  <si>
    <t>Bus Rapid Transit in Kigali (with linkage to non-motorized transport)</t>
  </si>
  <si>
    <t>Kigali</t>
  </si>
  <si>
    <t>Energy Efficiency Improvement in the Tea and Coffee Sector in Rwanda</t>
  </si>
  <si>
    <t>Promoting the use of Renewable Energy Solution for Households and Buildings</t>
  </si>
  <si>
    <t>Electrification with solar PV mini-grids in rural villages in Rwanda</t>
  </si>
  <si>
    <t>Developing a Sustainable Charcoal Value Chain in Rwanda</t>
  </si>
  <si>
    <t>Sustainable Fertilizers Production and Use</t>
  </si>
  <si>
    <t>The project will transform a sector.  Significant capacity building included in the programme.</t>
  </si>
  <si>
    <t>Detailed Study of Sustainable NAMA Financing Mechanism for Reactivating Renewable Energy-based CDM Project Activities in Malaysia</t>
  </si>
  <si>
    <t>This includes registered projects in operation but without CER issuance, registered projects with CER issuances, registered projects yet to be operationalised, length of the remaining crediting period, projects with expired crediting period, and projects still in the validation stage.</t>
  </si>
  <si>
    <t xml:space="preserve">Support for reactivating CDM projects whose activities pertain to the generation, application and utilisation of RE. Prioritisation of CDM projects in accordance with a set of eligibility criteria for seeking support based on their status in the CDM project cycle and the type of funding support received. </t>
  </si>
  <si>
    <t>Curtailed CDM projects</t>
  </si>
  <si>
    <t>Ministry of Natural Resources and Environment Malaysia</t>
  </si>
  <si>
    <t xml:space="preserve">Learning from ongoing policies and actions. </t>
  </si>
  <si>
    <t>Preparation of this NAMA document was funded by the Low Emission Capacity Building Project (LECB) in Malaysia implemented by the Ministry of Natural Resources and Environment Malaysia and United Nation Development Programme (UNDP).</t>
  </si>
  <si>
    <t>Sabah</t>
  </si>
  <si>
    <t>Environment Protection Department (EPD), Sabah</t>
  </si>
  <si>
    <t>Government, private sectors and NGOs</t>
  </si>
  <si>
    <t>Local government funded the study on Integrated Management of Electrical and Electronic Waste in Sabah from October 2013- December 2014. Preparation of this NAMA document was funded by the Low Emission Capacity Building Project (LECB).</t>
  </si>
  <si>
    <t xml:space="preserve">Household Electrical and Electronic Waste </t>
  </si>
  <si>
    <t>MRV for the whole collection, transportation and recycling system will be developed and achieved based on a web based application system.</t>
  </si>
  <si>
    <t>A systematic collection, transportation and recycling system of E-waste for the State of Sabah, Malaysia. The e-waste will be collected from from major cities and towns and transported to approved full recovery facilities in Peninsular Malaysia.</t>
  </si>
  <si>
    <t>There are 3 stages with the following key objectives:
Stage 1 – To conduct pilot collection system at selected areas
Stage 2 – To link up with National Recycling Fund
Stage 3 – To extend the pilot collection to other cities</t>
  </si>
  <si>
    <t>E-waste</t>
  </si>
  <si>
    <t>Improve the working environment for the workers on-site as well as for the health of surrounding community.</t>
  </si>
  <si>
    <t>Rwanda Ministry of Infrastructure (MININFRA)</t>
  </si>
  <si>
    <t>The Climate Change Focal Point (Rwanda Environmental Management Authority) and the National Implementing Entities will provide in-kind programme management, institutional coordination, and procurement services during the preparation phase.</t>
  </si>
  <si>
    <t>Preparation of NAMA Design and Document (110 k$), and a full feasibility study (300 k$) that will focus on two key components of the NAMA, which are the technical feasibility and financial structure for implementing the WtE plant as an IPP, and the comprehensive study of waste characterization and collection/disposal volume.</t>
  </si>
  <si>
    <t>The plant will have a capacity to process/combust up to 800 tons of solid waste per day,  and will be operated as an Independent Power Producer (IPP) as a fully private company receiving revenues through both Tipping Fees Agreements and Power Purchase Agreement under Rwandan regulations.</t>
  </si>
  <si>
    <t>MSW</t>
  </si>
  <si>
    <t>Incineration plant</t>
  </si>
  <si>
    <t>Harmful pollutants (NOx, SOx, CH4, and particulates) from fossil fuel electricity power generation in Rwanda will be reduced. Water and soil pollution due to reduced leachate effluents from landfills will be reduced.</t>
  </si>
  <si>
    <t>Significant reduction of CH4 emission from waste. Existing infrastructure allow new sustainable actors/activities. The programme will be replicated, model for similar programmes in other areas.</t>
  </si>
  <si>
    <t>Preparation of NAMA Design Document (170 k$) covering institutional framework, implementation planning, baseline determination, emission mitigation, financial structuring, support required, and MRV system. The feasibility study (260 k$) will focus on a comprehensive technical, financial and institutional feasibility assessment for the measures.</t>
  </si>
  <si>
    <t xml:space="preserve">Switch to low emissions, high efficiency transport modes, higher fuel and emissions standards for new vehicles, low sulphur diesel regulations, fleet renewal and scrappage regulations and emissions compliance certification and inspection. Including  dedicated “rush hour” bus lanes and integration with rural and inter-city bus routes. </t>
  </si>
  <si>
    <t>Reduced traffic congestion, air particulate emissions, noise levels, traffic accidents and fatalities, improved access to public transport for poor and handicapped, reduce household transport costs and time demands, increased use of non-motorized transport.</t>
  </si>
  <si>
    <t xml:space="preserve">Modal shift in the transport sector encouraged. </t>
  </si>
  <si>
    <t>Tea and coffe production</t>
  </si>
  <si>
    <t xml:space="preserve">1. Reductions in N2O emissions, by efficient practices of fertilizer application. 2. Reductions in CH4 emissions by improved water management in anaerobic treatment systems. 3. Reductions in CH4 and CO2 emissions through aerobic treatment and energetic use of pulp. 4. Reduction in CO2 emissions coming from electricity savings in the coffee drying. 5. Increased fixation of carbon by the spread of coffee agroforestry systems (intensified shading).
</t>
  </si>
  <si>
    <t>NAMA design and it’s documentation (110 k$), including the institutional framework, implementation planning, financial structuring, support required, and MRV system. Feasibility study (85 k$) on the best technologies available internationally for the tea and coffee sector and possible interventions in each of the tea and coffee processing units, including a sectoral wide technology use survey.</t>
  </si>
  <si>
    <t xml:space="preserve">Focus on energy intensive activities in the tea and coffee industry, namely roasting, drying, processing and packaging. Demonstration of selected energy efficient technologies in existing production; to establish an energy efficiency standards for all new factories; promote international eco-labelling; promote energy management, auditing and reporting; and national best practice sharing. </t>
  </si>
  <si>
    <t>Improvements in the tea and coffee sectors will increase employment opportunities and income generation.</t>
  </si>
  <si>
    <t>Experimentation and innovation in the policy/programme.</t>
  </si>
  <si>
    <t>NAMA design and documentation (110 k$) on the institutional framework, implementation planning, financial structuring, support required, and MRV system. A comprehensive survey (35 k$) on technical feasibility of appropriate technology and appropriate financial mechanism to ensure international finance is used efficiently and in a sustainable manner.</t>
  </si>
  <si>
    <t xml:space="preserve">Promoting the use of renewable energy technologies in rural and urban households and buildings across Rwanda: use solar water heaters in urban households and buildings (e.g. hotels, hospitals, hostels) and the use of standalone solar powered lighting kits in rural households, and small commercial establishments (e.g. shops, micro-enterprises etc.)  </t>
  </si>
  <si>
    <t>Solar water heaters and lighting kits</t>
  </si>
  <si>
    <t xml:space="preserve"> Increased access to energy via renewable resources, improve indoor air quality, job creation.</t>
  </si>
  <si>
    <t xml:space="preserve"> The programme will transform a sector. Increased public awareness on new technologies.</t>
  </si>
  <si>
    <t>NAMA design and its documentation (110 k$) on institutional framework, implementation planning, financial structuring, support required, MRV system. Rural Electrification Master Plan (200 k$): on-grid and off-grid access to electricity in Rwanda, indicating where off-grid access will be needed, and pointing out the locations for solar PV mini-grids.</t>
  </si>
  <si>
    <t>Solar mini-grids</t>
  </si>
  <si>
    <t xml:space="preserve">Off-grid rural electrification in Rwanda and focusing on the development and implementation of up to 100 solar PV mini-grids in rural villages, providing 24 hr supply via solar PV generation and low voltage mini-grids. Operation under Public Private Partnership (PPP) framework and management agreements with community cooperatives or state agency. </t>
  </si>
  <si>
    <t>Increasing the number of income generating activities for the communities and women, reduced household air pollution (particulates), provides the option for limited water irrigation, to increase agriculture productivity.</t>
  </si>
  <si>
    <t>Financial participation of citizens in local energy generation plants gives local ownership.</t>
  </si>
  <si>
    <t>Charcoal production</t>
  </si>
  <si>
    <t>NAMA design and documentation (110 k$) on institutional framework, implementation planning, financial structuring, support required, MRV system.  Comprehensive survey (251 k$) build on studies in Rwanda on charcoal and woodfuels. Technical support( 20 k$): etsablishing pilot program on efficient kiln charcoal production operated for 6 months.</t>
  </si>
  <si>
    <t>The NAMA goal is to increase the number of private sector enterprises (companies &amp; cooperatives) within the charcoal chain. Improving the sustainability of charcoal production (improved kilns), transportation and retail.</t>
  </si>
  <si>
    <t>Decreased air pollution as improved kilns. Limiting the impact of extreme energy poverty via better use of resources. Improved and more efficient access to markets for producers, distributers, and consumers.</t>
  </si>
  <si>
    <t>Significant reduction of deforestation/increase of forest area.  Multilevel interaction.</t>
  </si>
  <si>
    <t>Improved kilns</t>
  </si>
  <si>
    <t xml:space="preserve">Rwanda Ministry of Natural Resources (MINIRENA) &amp; Rwanda Natural Resources Authority (RNRA) </t>
  </si>
  <si>
    <t>Rwanda Ministry of Agriculture and Animal Resources (MINAGRI) &amp; Rwanda Agriculture Board (RAB)</t>
  </si>
  <si>
    <t>NAMA design and documentation (122 k$) on institutional framework, implementation, baseline, mitigation calculations, financial structuring, MRV system. 3 feasibility studies (188 k$) will focus on: (1) technical, financia, institutional assessment for up-scaled community diary/livestock cooperatives, (2) low emissions lime production, (3) study of best methods for manure and fertilizer management.</t>
  </si>
  <si>
    <t>1) Collection and production of livestock manure for organic fertilizer (creation of 600 community cattle agribusiness cooperatives). 2) improved production of finely granulated natural lime found in Musanze, Karongi and Rusizi districts. 3) improved agronomic management soils capacity development programs implemented through Rwanda’s agricultural extension service and farmer schools in rural areas.</t>
  </si>
  <si>
    <t>Alternative fertilizers</t>
  </si>
  <si>
    <t>Composting</t>
  </si>
  <si>
    <t xml:space="preserve"> Poverty reduction, private sector economic growth, green growth and climate resilience strategies, </t>
  </si>
  <si>
    <t xml:space="preserve"> New technologies owned by citizens &amp; farmes.</t>
  </si>
  <si>
    <t xml:space="preserve">Promoting cultivation of high-yielding upland rice in Uganda </t>
  </si>
  <si>
    <t>NAMA0115</t>
  </si>
  <si>
    <t>NS-152</t>
  </si>
  <si>
    <t>Rice crops</t>
  </si>
  <si>
    <t>Promoting cultivation of high-yielding upland rice. Facilitating rice farmers through training sessions, fertilizer subsidies, processing equipment, and access to markets. Explore appropriate and sustainable methods of producing paddy rice with lower methane emissions in Uganda in cases where upland rice does not yield.</t>
  </si>
  <si>
    <t>Estimate GHG emissions for cultivation of upland and paddy rice in Uganda (40k$). Assessment of upland rice growing in Uganda, including  activities associated with research and promoting the crop work by MAAIF and other stakeholders (10 k$). Selecting an assessing intervention areas (20 k$).</t>
  </si>
  <si>
    <t>Climate Change Department (CCD) in the Ministry of Water and Environment (MWE)</t>
  </si>
  <si>
    <t>Upland rice</t>
  </si>
  <si>
    <t>High multiplier effect due to its long value chain, powerty reduction</t>
  </si>
  <si>
    <t>Total acreage under paddy rice, and under upland rice. Methane emissions mg/m2 BAU, and % reductions associated with the different interventions.</t>
  </si>
  <si>
    <t>NAMA0116</t>
  </si>
  <si>
    <t>NS-213</t>
  </si>
  <si>
    <t>National Fuel Efficiency Initiative</t>
  </si>
  <si>
    <t>Baseline Studies (250 k$): Surveys of GHG emissions of the vehicle fleet for the BAU scenario. Policy and Regulatory Analysis (150 k$): Develop appropriate policies. Capacity Building (30 k$), Stakeholder Consultations (30 k$), Development of a MRV (30k$).</t>
  </si>
  <si>
    <t>The Fuel Efficiency Initiative focuses on adoption of strategies, policies and regulations to promote ownership and use of cleaner and more fuel-efficient vehicle. The data and analysis will contribute to the development of the regulatory framework, identifying regulations and planning in the sector.</t>
  </si>
  <si>
    <t>www.nama-facility.org/fileadmin/user_upload/pdf/NAMA_Facility_factsheet_Mexico.pdf</t>
  </si>
  <si>
    <t>Colombian Low Carbon Development Strategy (CLCDS). Colombia’s CTF Investment Plan, approved in 2010, includes US$100 million of concessional loan resources for sustainable urban transport. FINDETER has a Sustainable and Competitive Cities program. www.nama-facility.org/fileadmin/user_upload/pdf/Colombia_2013_15_Nov_Side_event_NAMA_Facility.pdf</t>
  </si>
  <si>
    <t>www.nama-facility.org/fileadmin/user_upload/pdf/Costa_Rica_NAMA_Coffee_-_VARSOVIA.pdf</t>
  </si>
  <si>
    <t>S-130 &amp; S-62</t>
  </si>
  <si>
    <t>Sustainable Urban Transport Initiative (SUTRI)</t>
  </si>
  <si>
    <t>www.nama-facility.org/fileadmin/user_upload/pdf/Indonesia_Presentation_Warsawa_UNFCCC-NAMA_Facility_MoT_of_Indonesia.pdf</t>
  </si>
  <si>
    <t>National energy Strategy, National Climate Change Action Plan. www.nama-facility.org/fileadmin/user_upload/pdf/SSRE_NAMA_Warsaw.pdf</t>
  </si>
  <si>
    <t>NAMA0117</t>
  </si>
  <si>
    <t>NS-217</t>
  </si>
  <si>
    <t>MULTIPURPOSE UTILIZATION OF BIOCHAR IN MONGOLIA</t>
  </si>
  <si>
    <t>Climate Change Project Implementing Unit (CCPIU) in Nature Conservation Fund (NCF)</t>
  </si>
  <si>
    <t>d) establishing the research plots to for the biochar to analyze costs, application, benefits, and changes in soil organic matter; and finally, e) analyzing the potential biochar-related revenues such as carbon credits, farming gains, and price of biochar.</t>
  </si>
  <si>
    <t xml:space="preserve">a) Evaluating the availability and biochar from existing biomass; b) assessing technologies to produce and transport biochar and  constructing/purchasing a unit; c) implementing a mini-scale and a small- to medium-scale biochar production pilot. Charcoal is carbonized material from the wood, and biochar is produced from the other bio-sources. </t>
  </si>
  <si>
    <t>Charcoal</t>
  </si>
  <si>
    <t>Animals</t>
  </si>
  <si>
    <t>Technical assistance requested from CTCN.</t>
  </si>
  <si>
    <t xml:space="preserve">Increase income for herders, vegetable gardeners, and forestry workers and create the green jobs in urban areas; Reduce soil degradation; increase water holding capacity in the soil. </t>
  </si>
  <si>
    <t>NAMA0118</t>
  </si>
  <si>
    <t>NAMA0119</t>
  </si>
  <si>
    <t>NAMA0120</t>
  </si>
  <si>
    <t>NAMA0121</t>
  </si>
  <si>
    <t>NS-220</t>
  </si>
  <si>
    <t>Energy efficient University</t>
  </si>
  <si>
    <t>University of Banja Luka and Government of Republic of Srpska.</t>
  </si>
  <si>
    <t>Banja Luka</t>
  </si>
  <si>
    <t xml:space="preserve">The first phase of the construction works are already finished. Since the architectural project of the building is already finished, along with the Study on the feasibility, energy efficiency and transfer of knowledge and technolog, there is no need for technological support.
</t>
  </si>
  <si>
    <t>University of Banja Luka, Faculty of Architecture, Civil Engineering and Geodesy</t>
  </si>
  <si>
    <t>Sustainable and energy efficient building of Faculty of Architecture, Civil Engineering and Geodesy (FACEG) in Banja Luka</t>
  </si>
  <si>
    <t>The main objective is the construction of environmentally friendly and energy efficient building of FACEG. Conceptualization and realization of a larger project of regeneration of the University campus and the waterside, according to BlueGreenDream principles.</t>
  </si>
  <si>
    <t>Banja Luka signed the Covenant of Mayors in 2009.</t>
  </si>
  <si>
    <t xml:space="preserve">Increase of citizens' awareness of their responsibilities towards the environmental protection and sustainable use of energy by applying energy efficiency measures in building educational facilities. </t>
  </si>
  <si>
    <t>Detailed building project attached</t>
  </si>
  <si>
    <t>Energy with Renewable Sources in non-interconnected areas</t>
  </si>
  <si>
    <t>NS-222</t>
  </si>
  <si>
    <t xml:space="preserve">Ministry of Mines and Energy </t>
  </si>
  <si>
    <t xml:space="preserve">Support from Olade to analyze information of non-interconnected areas in Colombia and prepare a NAMA proposal. Support from PNUMA in order to analyze posible business models for individual systems and/or mini-networks with hybrid systems.   </t>
  </si>
  <si>
    <t>The Institute of Planning and Promotion of Energy Solutions for non-interconnected areas (IPSE) which manage 1450 villages. Goal is bringing electricity to these localities by individual power generation of photovoltaic technology, or by mini-networks with hybrid systems of power generation involving renewable energy sources.</t>
  </si>
  <si>
    <t>An institutional arrangement between Ministry of Mines and Energy, IPSE and UPME (Mining and energy Planning Unit) will be established for the allocation of resources, effort and oversight of the projects mentioned above.</t>
  </si>
  <si>
    <t>Off grid electrification</t>
  </si>
  <si>
    <t>Public Lighting Energy Efficiency</t>
  </si>
  <si>
    <t>NS-221</t>
  </si>
  <si>
    <t>FINDETER</t>
  </si>
  <si>
    <t>FINDETER-IDB Market Study on Energy Efficiency in Public Lighting Sector in Colombia was extrapolated to 59 cities with over 100,000 inhabitants (not Bogota nor Medellin).</t>
  </si>
  <si>
    <t xml:space="preserve">Increased security in public spaces, Reduction in traffic accidents, Employment generation, Improving the quality of life of citizens, Reduction in public lighting costs for the municipalities of Colombia.
</t>
  </si>
  <si>
    <t xml:space="preserve">Number of cities or municipalities intervened, Amount of luminaires replaced, Public lighting consumption.  
</t>
  </si>
  <si>
    <t xml:space="preserve">Colombia has approximately 1,400,000 streetlights, of which 610,000 are under concession contracts. Most of these lights are sodium vapor technology of high pressure. FINDETER has launched a line of special funding to finance energy efficiency investments in public lighting. </t>
  </si>
  <si>
    <t>Address barriers that prevent the successful implementation. Seeking to create market conditions that stimulate demand for such projects, both by municipalities and the private sector, and building trust among stakeholders</t>
  </si>
  <si>
    <t xml:space="preserve">The NAMA considers four components: (I) Technical assistance and legal mechanisms, (II) Financial mechanism, (III) Monitoring, reporting and evaluation, (IV) Capacity building and communication mechanisms
</t>
  </si>
  <si>
    <t>EE-service</t>
  </si>
  <si>
    <t>Efficient street lighting</t>
  </si>
  <si>
    <t xml:space="preserve">Productive and Technological Reconversion of Colombia's Panela Sector </t>
  </si>
  <si>
    <t>NS-219</t>
  </si>
  <si>
    <t>Implement strategies towards GHG and pollutant reduction across the sector, focusing on three main technology areas: crop processes, mills technological upgrading and use of sub-products. The expected outcome is to create a transformational effect on the environment while generating positive socio-economic benefits.</t>
  </si>
  <si>
    <t xml:space="preserve">Plant resettlement and soil renewal through production intensification, increasing vegetation cover and uptake of CO2; Implement Thermal recirculation, Bagasse feeders’ to eliminate residence time and methane emissions, Replacing internal combustion engines with electric, Wastewater treatment for crop irrigation; Residual biomass from harvesting process as an energy source. </t>
  </si>
  <si>
    <t>Federación Nacional de Productores de Panela FEDEPANELA (National Association of Panela Producers)</t>
  </si>
  <si>
    <t>The sector provides employment to 350,000 families in 70,000 farms and 21,000 panela mills (plan to reduce the number of mills to 8,000). The panela sector is responsible for the increasing deforestation and catchment area sedimentation in Colombia. It is estimated around 70% of all car tyres used in Bogota are burnt in boilers for the production of panela. 289 pages Nino document attached.</t>
  </si>
  <si>
    <t>Sugar</t>
  </si>
  <si>
    <t>Energy efficiency</t>
  </si>
  <si>
    <t>NAMA0122</t>
  </si>
  <si>
    <t>NAMA0123</t>
  </si>
  <si>
    <t>Colombian NAMA for the domestic refrigeration sector</t>
  </si>
  <si>
    <t>NS-218</t>
  </si>
  <si>
    <t>Ministry of Environment and Sustainable Development (MADS - Colombia) - Climate Change Division, Technical Ozone Unit (UTO) and Deutsche Gesellschaft für Internationale Zusammenarbeit (GIZ) GmbH Acting as Delivery Organization</t>
  </si>
  <si>
    <t>1: Policy framework for the transformation of the domestic refrigeration sector is established; 2: Producer are designing and producing climate friendly energy efficient refrigerators; 3: New for old replacement programme is established; 4: Old fridges are returned and processed in a recycling scheme; 5: Cross sectoral capacity building</t>
  </si>
  <si>
    <t>(a) a ban of HFCs, (b) production line conversions using hydrocarbon refrigerants instead of HFC and changed product design to improve energy efficiency (c) an innovative replacement program including with incentives for low-income households (d) implementation of a sustainable scheme where producers and importers are given responsibility for domestic refrigerators at the end of their lives.</t>
  </si>
  <si>
    <t>Efficient refridgerators</t>
  </si>
  <si>
    <t xml:space="preserve">Current emissions from the domestic refrigeration sector are in the magnitude of 4.5 Mt CO2eq (2014) and are projected to double by 2030. Emissions stem from the use of high GWP refrigerants (~ 15%) and energy consumption (~85%). </t>
  </si>
  <si>
    <t>The Project will utilise the standardised Result-based Monitoring system used by GIZ and partners</t>
  </si>
  <si>
    <t xml:space="preserve">Social development:
- Employment and education (high): Training and education enables managers, engineers, technicians and servicing personnel in the domestic refrigeration sector to stay up-to-date and work in accordance with international trends, regulations and standards. Certified training increases the chances of proper employment and a better income;
- Health (medium): Reliable cooling ensures safe food for the low-income households. Proper waste management of EOL equipment will reduce health risks;
- Low-income household energy costs that are associated with the energy consumption of domestic refrigerators are reduced by 50% (after repayment time). 
Economic development:
- Qualification and certification of local technicians (high): Creation of employment and skilled set of technicians through training measures (production, service and financial support sector);
- Raise sustainable competitiveness of producers (high);
- Reduced national expenditures for energy subsidies (reduced energy consumption due to higher efficiency) which can be used to promote green fridges and proper waste management;
- Availability allows for CSR (green brands) (medium);
- Low-income household energy costs that are associated with the energy consumption of domestic refrigerators are reduced by 50% (after repayment time) 
- National savings on energy (high);
- The purchase of hydrocarbon refrigerants is cheaper than the purchase of HFC-refrigerants.
- Production and availability (medium): The production of natural refrigerants is less costly and consumes far less energy than the production of synthetic refrigerants. The handling of natural substances cannot be restricted by patents, so they can be processed and sold by any company in any country locally.
Environmental protection:
- Emission reduction (medium): Using natural refrigerants reduces direct emissions of HFC, which harm the climate. Highly efficient refrigerators based on natural refrigerants have lower energy consumption and therefore reduce indirect emission (energy supply);
- Preservation of valuable raw materials (medium): unlike fluorinated substances which are produced from fluorspar, natural refrigerants do not deplete resources;
- Less pollution and toxic waste (high): Natural refrigerants do not produce persistent wastes in the atmosphere;
- Less food waste through better cooling.
National benefits:
- Colombia to gain international recognition for setting the pace as best practice example to act on the domestic refrigeration sector, considering the entire life cycle; 
- Colombia to gain international recognition as a frontrunner in South America for the phase down of HFCs;
- Colombia to reduce energy consumption with the introduction of efficient equipment, thereby achieving affordable and sustainable energy flows due to high energy efficiency;
 - Monetary savings in the national budget due to reduced energy subsidies for low-income households. </t>
  </si>
  <si>
    <t>Sustainable Bovine Livestock</t>
  </si>
  <si>
    <t>NS-225</t>
  </si>
  <si>
    <t>Ministry of Agriculture and Rural Development of Colombia (Ministerio de Agricultura y Desarrollo Rural de Colombia)</t>
  </si>
  <si>
    <t>The Ministry of Agriculture and Rural Development has promoted investigations under an agreement with CIAT (International Center for Tropical Agriculture) which have been the based for proposing the NAMA's activities; strong commitment and participation during the conceptualisation of the NINO has been recieved from both institutions. The Project has also recieved technical support from CIPAV and the Colombian Sustainable Livestock Project, a GEF project lead by FEDEGAN (National Federation of Cattle Ranchers). 
Additionally the NAMAs Information Note has been design with the support of the Colombian Low Carbon Development Strategy, a programme lead by the Ministry of Environment and Sustainable Development which is supported by UNDP's LECB programme and MAPS programme.</t>
  </si>
  <si>
    <t>NINO Ganadería Bovina Vfinal.pdf attached</t>
  </si>
  <si>
    <t xml:space="preserve">The NAMA aims to diminish the GHGs generated in cattle production and increase the carbon sinks of the pasture agro-ecosystems, through a productive management system at a regional level, promoting conservation and/or restoration of natural ecosystems, encouraging sustainable productive landscapes through the harmonization of the different public policy tools. </t>
  </si>
  <si>
    <t xml:space="preserve">Economic:
 - Improvements in the bovine livestock production returns in Colombia 
  - Improve the competitiveness of the sector
- Increase of income
- Reduce supply costs
- Reduce the climate variability risk
 Social:
- Ease formalisation of workers
- Reduction of poverty
- Food security
- Increase of technical capability of bovine livestock 
- Cobenefits of adaptation to climate change
 Environmental:
- Improvements in hydrological cycles
- Soil conservation 
- Biodiversity protection
 Other Co-benefits:
- Strengthening of the agenda between Ministries of Environment and Agriculture.
- Increasing land uses based in land vocation, therefore reducing land use conflicts.
</t>
  </si>
  <si>
    <t xml:space="preserve">The specific goals of the project are:
 -To intensify in a sustainable manner the cattle raising production by implementing intensive and non-intensive silvopastoral systems, and efficient management of the productive system
-Earmark areas in the cattle farms for conservation and/or restoration of natural ecosystems
-Manure management and utilization of the methane gas generated in the sacrifice lots
</t>
  </si>
  <si>
    <t>Methane avoidance and forests</t>
  </si>
  <si>
    <t>NAMA0124</t>
  </si>
  <si>
    <t>NAMA0125</t>
  </si>
  <si>
    <t>Implementation of Feed-in Tariff Mechanism in Malaysia</t>
  </si>
  <si>
    <t>NR-224</t>
  </si>
  <si>
    <t>Sustainable Energy Development Authority (SEDA) of Malaysia</t>
  </si>
  <si>
    <t>SEDA, a statutory body incorporated pursuant to the Sustainable Energy Development Authority Act 2011 (Act 726), was established to administer and manage the implementation of the FiT mechanism.</t>
  </si>
  <si>
    <t>The renewable sources eligible under the FiT scheme are comprised of biogas (agroindustrial waste and landfill gas), biomass (agrowaste and municipal solid waste), small hydropower, solar photovoltaic and geothermal. It is stipulated that these must be indigenous renewable sources and must not be imported from other countries.</t>
  </si>
  <si>
    <t>The scheme targets to achieve total approved RE capacity for grid connection to reach 2,080 MW generating 11.3 GWh/year, accounting for 11% of total electricity generation in 2020. Under the scheme, the duration (FiT Effective Period) is 16 years for biomass and biogas, and 21 years for small hydropower, solar photovoltaic and geothermal technologies.</t>
  </si>
  <si>
    <t>NS-226</t>
  </si>
  <si>
    <t xml:space="preserve">The NAMA will be financed through national and international public funds (grants and loans) and private sector contributions and consumer payments. </t>
  </si>
  <si>
    <t>The CapDev programme for implementation will support:
(i) implementing a NAMA working network and processes (technical and financial project cycle), including staff training; 
(ii) implementing NAMA related regulations and designing the contractual conditions; 
(iii) preparing NAMA project documentation (application forms, call and tender documents, pro-curement rules, monitoring, evaluation and reporting forms, etc.);</t>
  </si>
  <si>
    <t>Finance from the national budget, cost reduction measures and consumer payment schemes, through direct investment grants, the RE Fund and a loan facility.</t>
  </si>
  <si>
    <t>AMS-I.L Electrification of rural communities using renewable energy, Version 3 will be used to monitor GHG emission reductions.</t>
  </si>
  <si>
    <t xml:space="preserve"> Or</t>
  </si>
  <si>
    <t>of the requested support.</t>
  </si>
  <si>
    <t>NAMA0126</t>
  </si>
  <si>
    <t>NS-227</t>
  </si>
  <si>
    <t>NAMA for Rural Development in Lao PDR</t>
  </si>
  <si>
    <t>Institute of Renewable Energy Promotion</t>
  </si>
  <si>
    <t>The Institute for Renewable Energy Promotion will provide national technical support in addition to the required international support. Even though the electrification rate in Lao PDR was 72.5 per cent of households in 2010, one third of the population still remain without proper access to electricity.</t>
  </si>
  <si>
    <t>According to updated the Rural Electrification Master Plan (REMP), 2010 the Government has set the national electrification target at a household level to 94 percent by 2020.</t>
  </si>
  <si>
    <t>The NAMA is designed with sustainable development benefits in mind and the design includes a focus on interventions which allow for income- generating activities which can create business opportunities for individuals, households and communities.</t>
  </si>
  <si>
    <t>The overall target of the NAMA is to support Lao PDR in achieving the goal defined in the Rural Electrification Master Plan provide access to electricity to 90% of households in Lao PDR by 2020. In this first phase the NAMA aims to establish 8 mini grids using renewable energy sources (hydro and solar).</t>
  </si>
  <si>
    <t xml:space="preserve">Rural communities/tourism, agricultural facilities/health centers/schools and literacy centers are the focus of these mini grids due to their demand for electricity for lighting, cooling and appliances. The mini grids will provide electricity for lighting, radio and phone charging for households, and for service and production activities.
</t>
  </si>
  <si>
    <t>Solar &amp; Hydro</t>
  </si>
  <si>
    <t>NAMA0127</t>
  </si>
  <si>
    <t>NS-229</t>
  </si>
  <si>
    <t>Efficient use of biomass for equitable, climate proof and sustainable rural development</t>
  </si>
  <si>
    <t>Women in Europe for a Common Future (WECF)</t>
  </si>
  <si>
    <t xml:space="preserve"> Promoting the use and up-scaling of Solar Water Heaters (SWH), Fuel Efficient Wood Stoves (FEWS), Energy Efficient Insulation (EEI) Measures in rural households and public buildings and sustainable forest management.</t>
  </si>
  <si>
    <t>Planned measures within pilot project are the installation of SWH and FEWS and implement EEI measures in 11.500 households, supported with a financial mechanism and sustainable forest management in 6 rural areas of Georgia.</t>
  </si>
  <si>
    <t>Average 60% of the costs of the 11,500 SWH and FEWS and 100% of EEI will be contributed by households (est. 7,360,000 Euro) and state funding (est. 260,000 Euro). Additionally, at least 85,000 Euro will be private investment of the commercial production unit.</t>
  </si>
  <si>
    <t>Improved living standards, Reduced labor burden for women, Reduced rural poverty by decreasing energy costs, Enhanced economic development and strengthened private sector.</t>
  </si>
  <si>
    <t>Appendix: GIZ Case study: Lessons from creating access to low-cost solar water heaters as the basis for the first gender-sensitive Nationally Appropriate Mitigation Action (NAMA)  in Georgia</t>
  </si>
  <si>
    <t xml:space="preserve">Forestry </t>
  </si>
  <si>
    <t>Vanuatu</t>
  </si>
  <si>
    <t>NAMA0128</t>
  </si>
  <si>
    <t>NS-230</t>
  </si>
  <si>
    <t>Rural Electrification in Vanuatu</t>
  </si>
  <si>
    <t>Ministry of Climate Change and Natural Disasters</t>
  </si>
  <si>
    <t xml:space="preserve">AMS-I.L.: Electrification of rural communities using renewable energy, Version 03.0" will be used to monitor GHG emission reductions. </t>
  </si>
  <si>
    <t xml:space="preserve">Build on National Energy Road Map (NERM).  In total the NAMA implementation will cost 5.5 MUS$, the Vanuatu government will provide providing around 12 per cent and the private sector is expected to contribute around 6 per cent. The remaining 82 per cent is expected to come from NAMA donors. </t>
  </si>
  <si>
    <t>The NAMA covers two interventions. Under 1) five micro grids will be established. Rural communities/tourism and agricultural facilities/health centres/schools are the focus due to their demand for electricity for lighting, cooling and appliances. The micro grids will use solar, wind, hydro. 2) covers extension of existing electricity grids on different islands.</t>
  </si>
  <si>
    <t>The overall target is to support Vanuatu in achieving the goal defined in the National Energy Road Map (NERM), namely to provide access to electricity to all households in Vanuatu. The NAMA will reduce GHG emissions through the replacement of fossil fuels with renewable energies.</t>
  </si>
  <si>
    <t>Electricity generation</t>
  </si>
  <si>
    <t>NAMA0129</t>
  </si>
  <si>
    <t>NS-232</t>
  </si>
  <si>
    <t>A NAMA design document prepared by UNDP with GEF support is attached.</t>
  </si>
  <si>
    <t>A NAMA design document prepared by UNDP with GEF support is attached to NS-232.</t>
  </si>
  <si>
    <t>NS-196, NS-199, NS-227, NS-230</t>
  </si>
  <si>
    <t>NAMA0130</t>
  </si>
  <si>
    <t>TRANSPerú - Sustainable Urban Transport NAMA</t>
  </si>
  <si>
    <t>NS-223</t>
  </si>
  <si>
    <t xml:space="preserve">The Government of Peru has allocated significant amounts to the policy matrix, mainly to the integrated mass transportation system in Lima (roughly USD 4.2 billion). </t>
  </si>
  <si>
    <t xml:space="preserve"> The German Government financed programme IKLU/DKTI[2] has approved financial resources for the Set Up of the National Programme for Sustainable Urban Transport ( EUR 60 million). </t>
  </si>
  <si>
    <t>Ministry of Transport and Communications</t>
  </si>
  <si>
    <t xml:space="preserve"> The NAMA comprises six major mitigation areas: Integrated public mass transport system in Lima/Callao; Non-motorized transport in Lima , Institutional development to improve urban transport management in Lima/ Callao , Vehicle homologation and fuel efficiency for light vehicles; Modernization of the public transport vehicle fleet; Support to local governments to strengthen sustainable urban transport.</t>
  </si>
  <si>
    <t>Metro &amp; Bus Rapid Transit</t>
  </si>
  <si>
    <t>High decrease in travel times and associated economic benefits by the building of a metro, optimized routes and bus sizes, improved intermodality, urban mobility planning.
•Reduced life-cycle costs of vehicle fleet by increase of vehicle efficiency.
•Reduced societal health costs associated with reduced stress levels from traffic noise/air pollution.
•Reduced casualties and injuries by accidents by reduction in traffic and modernized fleet.
•Increased competitiveness of cities as attractive places for business/families.
•Social inclusion of people of vulnerable groups by provision of affordable public transport, well-designed non-motorized transport, and connection of suburbs and the city center.
•Increased employment and local businesses due to infrastructure investment.</t>
  </si>
  <si>
    <t>Part of the INDC for Peru.</t>
  </si>
  <si>
    <t>NS-108, NS-127, NS-198, NS-72, NS-65, NS-8, NS-218, NS-223</t>
  </si>
  <si>
    <t>NAMA0131</t>
  </si>
  <si>
    <t>Uzbekistan</t>
  </si>
  <si>
    <t>NS-236</t>
  </si>
  <si>
    <t>Solar Energy Development in Uzbekistan</t>
  </si>
  <si>
    <t>Join Stock Company Uzbekenergo</t>
  </si>
  <si>
    <t>Based on the Roadmap for Solar Energy Development in Uzbekistan, prepared by the Asian Development Bank</t>
  </si>
  <si>
    <t>Solar Road Map attached</t>
  </si>
  <si>
    <t>100MW PV in Samarkand planned.</t>
  </si>
  <si>
    <t>General solar development.</t>
  </si>
  <si>
    <t xml:space="preserve">Solar </t>
  </si>
  <si>
    <t>NAMA0132</t>
  </si>
  <si>
    <t>Energy Efficient Refurbishment in the Georgian Public Building Sector</t>
  </si>
  <si>
    <t>NS-228</t>
  </si>
  <si>
    <t xml:space="preserve">The Ministry of Environment and Natural Resources Protection (UNFCCC Focal Point), The Ministry of Economy and Sustainable Development, The Ministry of Energy </t>
  </si>
  <si>
    <t xml:space="preserve">NAMA consists of two phases: phase I -readiness phase (developing the capacity in the Georgian public sector to be able to pilot renovation activities and energy performance contracting in public buildings) and 
phase II-implementation phase targeting the full renovation of 50 000 to 60 000 sq. meter in buildings including EE measures (Euro 300 per sq.m). 
</t>
  </si>
  <si>
    <t>Long term transformation of building energy efficiency creating regulatory structures to support deep energy efficient refurbishment of the existing building stock. Piloting the renovation of key public buildings in Covenant of Mayors (CoM) cities as well as central government facilities. Later extending the process to the residential sector.</t>
  </si>
  <si>
    <t xml:space="preserve">Job creation, energy security, </t>
  </si>
  <si>
    <t>Through the Covenant of Mayors a number of cities (10 self-governing cities and 4 municipalities) have demonstrated pro-activity in the development of sub-national agendas. Support for the development of the NAMA proposal was provided through Mitigation Momentum project, which is part of the International Climate Initiative (IKI).</t>
  </si>
  <si>
    <t>NS-8</t>
  </si>
  <si>
    <t>NS-65</t>
  </si>
  <si>
    <t>NS-72</t>
  </si>
  <si>
    <t>M$</t>
  </si>
  <si>
    <t>MEuro</t>
  </si>
  <si>
    <t>NAMA Facility support</t>
  </si>
  <si>
    <t>NAMA0133</t>
  </si>
  <si>
    <t xml:space="preserve">NAMA for Rural Development in Lao PDR </t>
  </si>
  <si>
    <t>NS-237</t>
  </si>
  <si>
    <t>NAMA0134</t>
  </si>
  <si>
    <t>NS-238</t>
  </si>
  <si>
    <t xml:space="preserve">Support to Sierra Leone Preparation of Nationally Appropriate Mitigation Action </t>
  </si>
  <si>
    <t xml:space="preserve">Meteorological Department </t>
  </si>
  <si>
    <t>Support to: 1) To mobilize financial resources to support activities in the preparation of the country nationally appropriate mitigation action (NAMA). 2) To solicit technical support in facilitating the preparation of the country nationally appropriate mitigation action (NAMA). 3) To support the development of a well-articulated nationally appropriate mitigation action (NAMA).</t>
  </si>
  <si>
    <t>General support to develop NAMAs needed.</t>
  </si>
  <si>
    <t>A work plan is attached.</t>
  </si>
  <si>
    <t>Guatamala</t>
  </si>
  <si>
    <t xml:space="preserve">Energy efficient cookstoves </t>
  </si>
  <si>
    <t>NS-240</t>
  </si>
  <si>
    <t>NS-241</t>
  </si>
  <si>
    <t>NS-242</t>
  </si>
  <si>
    <t>NS-243</t>
  </si>
  <si>
    <t>NS-244</t>
  </si>
  <si>
    <t>Efficient Biomass Stove Development, Dissemination and Commercialisation</t>
  </si>
  <si>
    <t xml:space="preserve">Provision of Sustainable Energy in Zimbabwe through use of Biogas </t>
  </si>
  <si>
    <t>National Solar Water Heating Programme</t>
  </si>
  <si>
    <t>Lighting system optimization by replacing incandescent and other lights with energy efficient LED lights</t>
  </si>
  <si>
    <t>Nationally Appropriate Mitigation Actions in the Construction Sector in Mongolia</t>
  </si>
  <si>
    <t>Zimbabwe</t>
  </si>
  <si>
    <t>NAMA0135</t>
  </si>
  <si>
    <t>NAMA0136</t>
  </si>
  <si>
    <t>NAMA0137</t>
  </si>
  <si>
    <t>NAMA0138</t>
  </si>
  <si>
    <t>NAMA0139</t>
  </si>
  <si>
    <t>Ministry of Energy and Power Development</t>
  </si>
  <si>
    <t>The National Solar Water Heating Programme was launched on 30 September 2015.</t>
  </si>
  <si>
    <t>The programme consists of a pilot and full implementation phases. The pilot phase seeks to retrofit 1000 domestic electric geysers with solar water heaters in 1,000 households. In the full programme about 823,000 solar water heaters will be installed in the following ten years.</t>
  </si>
  <si>
    <t xml:space="preserve">The NAMA will replace electric geysers with solar geysers that will reduce electricity consumption by households, institutions and commercial services sectors by up to 40%. </t>
  </si>
  <si>
    <t>Solar water heaters</t>
  </si>
  <si>
    <t xml:space="preserve"> In the first ten years it is expected that 7 800 domestic digesters will be constructed. It is anticipated that 100 institutional digesters (minimum size, 50m3) will be constructed in the next 5years, and 100 municipal digesters will be constructed in the next 5 years (minimum size 200m3).</t>
  </si>
  <si>
    <t>In the domestic sector over 200 digesters have been constructed so far. Currently 800m3 (4x 200m3) digesters are being constructed in Harare’s major vegetable market, Mbare. Zimbabwe Agenda for Sustainable Socio-Economic Transformation’s targets 1250 digesters installed by 2018.</t>
  </si>
  <si>
    <t>The overall aim is: 1) Creating awareness of biogas technology in small holder dairy and piggery farming areas and in rural areas; 2) Training builders in the construction and installation of digesters as well as loading and maintenance, this will generate some income for the trainees; and 3) Developing and adapting other appliances for use with biogas.</t>
  </si>
  <si>
    <t>Manure &amp; domestic manure</t>
  </si>
  <si>
    <t xml:space="preserve"> The Ministry of Energy and Power Development has carried out a pilot project at its head office, where incandescent bulbs have been replaced by LED lights. The National Electricity Utility and the Energy Regulator have done likewise at their head quarters. </t>
  </si>
  <si>
    <t>The planned retrofitting of 250W with 90W LED lights in the City of Harare will reduce electricity consumption by at least 40 GWh/yr and GHG emissions by at least 23 443 tCO2. There are a lot of issues that include technology transfer, financing the completion of the programme and awareness creation to get the product accepted by the general public.</t>
  </si>
  <si>
    <t>LED lights</t>
  </si>
  <si>
    <t>EE lighting</t>
  </si>
  <si>
    <t>Replace incandescent lights and other lights in households, government and commercial premises by LED lights.</t>
  </si>
  <si>
    <t>Public transport</t>
  </si>
  <si>
    <t>It is estimated that more than 6 million tonnes of wood fuel are consumed annually when the sustainable output of natural forests is 4.6 million tonnes translating to a loss of 330 000 hectares of forest area or over 60 million trees per year.</t>
  </si>
  <si>
    <t>The programme aims at: 1) Reducing loss of woodlands which are carbon sinks that help to capture carbon; 2) Creating awareness of advantages of  use of efficient cook stoves as compared to open fire places; 3) Training of local artisans and builders in the construction of efficient cook stoves;</t>
  </si>
  <si>
    <t>Ministry of Construction and Urban Development / Ministry of Nature, Green Development &amp; Tourism</t>
  </si>
  <si>
    <t>Both public and private sector decision makers, practitioners, construction sector fraternity, will be trained.</t>
  </si>
  <si>
    <t>This objective will be achieved by removing barriers to increased adoption of energy efficiency technology in construction sector through three components; i) establishment of baseline energy consumption and GHG emission in the construction sector ii) development and implementation of NAMA in the construction sector iii) MRV system for NAMA.</t>
  </si>
  <si>
    <t xml:space="preserve">The total cost of the NAMA is estimated at US$ $8,169,863. This includes investment costs as well as extensive capacity-building efforts. In total, the Government of Mongolia is committed to providing $3,350,000; GEF support is $1,269,863 and $3,450,000 from the private sector. </t>
  </si>
  <si>
    <t>Construction sector</t>
  </si>
  <si>
    <t>EE in construction</t>
  </si>
  <si>
    <t>Information campain performed.  First of its kind programme. The programme will be replicated, model for similar programmes in other areas.</t>
  </si>
  <si>
    <t>1. Dimension</t>
  </si>
  <si>
    <t>2. Criteria</t>
  </si>
  <si>
    <t>3. Indicators</t>
  </si>
  <si>
    <t>4. Additional information</t>
  </si>
  <si>
    <t>Guidance</t>
  </si>
  <si>
    <t>□ 1. Definition of TC</t>
  </si>
  <si>
    <t>Goal dimension</t>
  </si>
  <si>
    <t>□  Goal for a rapid large scale GHG reduction</t>
  </si>
  <si>
    <t>The "additional information"  can specify the indicator with short</t>
  </si>
  <si>
    <t>□  Sustainable development goals incentivice the transition</t>
  </si>
  <si>
    <t>clear information, possibly quantified</t>
  </si>
  <si>
    <t>□  Milestones/Key Performance Indicators</t>
  </si>
  <si>
    <t>□  The programme will transform a sector</t>
  </si>
  <si>
    <t>Process of change dimension</t>
  </si>
  <si>
    <t>□  Political vision and leadership</t>
  </si>
  <si>
    <t>□  Actors connect innovation to day-to-day proctice</t>
  </si>
  <si>
    <t>□  Actors infuence multi-level system to adopt innovation</t>
  </si>
  <si>
    <t>Low-carbon lock-in dimension</t>
  </si>
  <si>
    <t>□  High-carbon barriers are overcome</t>
  </si>
  <si>
    <t>□  Other</t>
  </si>
  <si>
    <t>□ 2.Multilevel context</t>
  </si>
  <si>
    <t>Landscape level</t>
  </si>
  <si>
    <t>□  Growth of international concern about Climate Change had an impact</t>
  </si>
  <si>
    <t>□  Political pressure generated by organized civil society important</t>
  </si>
  <si>
    <t>Regime level</t>
  </si>
  <si>
    <t>□  National government incentives to change/disincentives to no change</t>
  </si>
  <si>
    <t>□  Improvement of regulation</t>
  </si>
  <si>
    <t>□  Existing infrastructure allow new sustainable actors/activities</t>
  </si>
  <si>
    <t>Niche level</t>
  </si>
  <si>
    <t>□  New technologies owned by citizens &amp; farmes</t>
  </si>
  <si>
    <t>□  Financial participation of citizens in local energy generation plants gives local ownership</t>
  </si>
  <si>
    <t>□  High local involvement in the programme</t>
  </si>
  <si>
    <t>Interaction across levels</t>
  </si>
  <si>
    <t>□  Multilevel interaction</t>
  </si>
  <si>
    <t>□  Actors create networks for low carbon transition</t>
  </si>
  <si>
    <t>□ 3. Phases of transformation</t>
  </si>
  <si>
    <t>Pre-development phase</t>
  </si>
  <si>
    <t>□  Increased funding for technological R&amp;D&amp;D</t>
  </si>
  <si>
    <t>□  Experimentation and innovation in the policy/programme</t>
  </si>
  <si>
    <t>□  New testing facilities for technologies</t>
  </si>
  <si>
    <t>□  First of its kind programme</t>
  </si>
  <si>
    <t>□  Increased public awareness on new technologies</t>
  </si>
  <si>
    <t>Take-off phase</t>
  </si>
  <si>
    <t>□  The programme will be replicated, model for similar programmes in other areas</t>
  </si>
  <si>
    <t>□  Significant capacity building included in the programme</t>
  </si>
  <si>
    <t>□  Modal shift in the transport sector encouraged</t>
  </si>
  <si>
    <t>Acceleration phase</t>
  </si>
  <si>
    <t>□  Extended high voltage grid</t>
  </si>
  <si>
    <t>□  Significant reduction of deforestation/increase of forest area</t>
  </si>
  <si>
    <r>
      <t>□  Significant reduction of CH</t>
    </r>
    <r>
      <rPr>
        <vertAlign val="subscript"/>
        <sz val="8"/>
        <rFont val="Calibri"/>
        <family val="2"/>
        <scheme val="minor"/>
      </rPr>
      <t>4</t>
    </r>
    <r>
      <rPr>
        <sz val="8"/>
        <rFont val="Calibri"/>
        <family val="2"/>
        <scheme val="minor"/>
      </rPr>
      <t xml:space="preserve"> emission from waste</t>
    </r>
  </si>
  <si>
    <t>Stabilisation phase</t>
  </si>
  <si>
    <t>□  Barriers to relapse to high-carbon practice</t>
  </si>
  <si>
    <t>□  Government policies and laws sustain the transformation</t>
  </si>
  <si>
    <t>□ 4. Management of Transition</t>
  </si>
  <si>
    <t>Strategic</t>
  </si>
  <si>
    <t>□  Increased awarenes on Climate Change in governmental/municipal institutions</t>
  </si>
  <si>
    <t>□  New institutions created or changed</t>
  </si>
  <si>
    <t>□  Information campain performed</t>
  </si>
  <si>
    <t>Tactical</t>
  </si>
  <si>
    <t>□  Government have made a long term vision with targets, that are enforced</t>
  </si>
  <si>
    <t xml:space="preserve">□  Strenghen enforcement of existing laws </t>
  </si>
  <si>
    <t>□  Risk minimization instrument introduced</t>
  </si>
  <si>
    <t>□  Financial support for low carbon technologies</t>
  </si>
  <si>
    <t>□  Negative incentives that discourage the continuation of business as ususal</t>
  </si>
  <si>
    <t>□  Prohibits import of inefficient technologies</t>
  </si>
  <si>
    <t xml:space="preserve">□  Introduction of technology standards/performance standards </t>
  </si>
  <si>
    <t>Operational</t>
  </si>
  <si>
    <t>□  Reduction of subsidies for fossil energy</t>
  </si>
  <si>
    <t>□  Feed-in Tariffs with a purchase obligation, stable tariff over a long period of time</t>
  </si>
  <si>
    <t>□  Introduction of mandatory labeling or metering</t>
  </si>
  <si>
    <t>□  Introduction of carbon market</t>
  </si>
  <si>
    <t>□  Introduction or fuel tax, traffic congestion tax, import/export tax etc.</t>
  </si>
  <si>
    <t>Reflexive</t>
  </si>
  <si>
    <t>□  Learning from ongoing policies and actions</t>
  </si>
  <si>
    <t>□  MRV frameworks informs transition management</t>
  </si>
  <si>
    <t>□  Others</t>
  </si>
  <si>
    <t>□  5.GHG emission impact</t>
  </si>
  <si>
    <t>□ CO2</t>
  </si>
  <si>
    <t>The change will reduce GHG emission of:</t>
  </si>
  <si>
    <t>□ CH4</t>
  </si>
  <si>
    <t>□ N2O</t>
  </si>
  <si>
    <t>□ HFCs, PFCs or SF6</t>
  </si>
  <si>
    <t>□  6.Sectoral impact</t>
  </si>
  <si>
    <t>□ Households</t>
  </si>
  <si>
    <t>The change will reduce the GHG emissions in the following sectors:</t>
  </si>
  <si>
    <t>□ Service</t>
  </si>
  <si>
    <t>□ Industry</t>
  </si>
  <si>
    <t>□ Transport</t>
  </si>
  <si>
    <t>□ Agriculture &amp; Forestry</t>
  </si>
  <si>
    <t>□ Energy distribution</t>
  </si>
  <si>
    <t>□ Electricity production</t>
  </si>
  <si>
    <t>□ Heat production</t>
  </si>
  <si>
    <t>□ The whole country</t>
  </si>
  <si>
    <t>□  Global impact</t>
  </si>
  <si>
    <t>□ 7.Natural resources</t>
  </si>
  <si>
    <t>□ Decrease in coal use</t>
  </si>
  <si>
    <t>The use of the following natural resources will increase or decrease:</t>
  </si>
  <si>
    <t>□ Decrease in oil use</t>
  </si>
  <si>
    <t>□ Decrease in natural gas use</t>
  </si>
  <si>
    <t>□ Increase in wind power</t>
  </si>
  <si>
    <t>□ Increased use of solar electricity</t>
  </si>
  <si>
    <t>□ Increased use of solar heat</t>
  </si>
  <si>
    <t>□ Increased use of geothermal electricity</t>
  </si>
  <si>
    <t>□ Increased use of geothermal heat</t>
  </si>
  <si>
    <t>□ Increased use of biomass</t>
  </si>
  <si>
    <t>□ Decrease of annual area deforestated</t>
  </si>
  <si>
    <t>□ Increased use of waste</t>
  </si>
  <si>
    <t>□ Increased recycling/product life extension</t>
  </si>
  <si>
    <t>□ Other: ______________________________________________</t>
  </si>
  <si>
    <t>□  8. Magnitude of change</t>
  </si>
  <si>
    <t>□ Renewable energy goal</t>
  </si>
  <si>
    <t>□ GHG emission intensity goal</t>
  </si>
  <si>
    <t>□ GHG emission goal</t>
  </si>
  <si>
    <t>□  Reduction in national GHG emissions</t>
  </si>
  <si>
    <t>□ Reduction of emissions in a sector</t>
  </si>
  <si>
    <t>□ Reduction of GHG emision in x%-y%</t>
  </si>
  <si>
    <t>□ Reduction of deforestation in x%</t>
  </si>
  <si>
    <t>NAMA0140</t>
  </si>
  <si>
    <t>NAMA0141</t>
  </si>
  <si>
    <t>NS-246</t>
  </si>
  <si>
    <t>People-centred Urban Mobility in Thailand (Thailand Mobility NAMA)</t>
  </si>
  <si>
    <t>NS-247</t>
  </si>
  <si>
    <t>Fostering Use of Natural Gas in the Transport Sector</t>
  </si>
  <si>
    <t>Ministry of Transport, Office of Traffic and Transport Policy and Planning</t>
  </si>
  <si>
    <t>Better air quality, better walkability, less disruption by cars and noise,</t>
  </si>
  <si>
    <t>Part of the INDC.</t>
  </si>
  <si>
    <t>Consolidation of the bus services, improvement of public transport hubs, bus prioritisation, introduction of more energy-efficienct buses(electric and gas buses) and the improvement of conditions for cycling and walking (non-mororised tarnsport)</t>
  </si>
  <si>
    <t>Improving feeder modes to the urban rail network in Bangkok.  This NAMA contributes to a transformation in the sector towards sustainable transport by providing a viable alternative to private transport and addressing the motorisation trend. Other cities in Thailand will also propose and implement similar measures.</t>
  </si>
  <si>
    <t>Bangkok</t>
  </si>
  <si>
    <t>Buses</t>
  </si>
  <si>
    <t>Electric and gas buses</t>
  </si>
  <si>
    <t>The NAMA will create a solid system for improved data gathering and monitoring (MRV) of policy actions.</t>
  </si>
  <si>
    <t>KazTransGas Onimdery, Gas Vehicle Assotiation of Kazakhstan</t>
  </si>
  <si>
    <t xml:space="preserve">Reduced local air pollution; health co-benefits; increased energy security; income and job generation; </t>
  </si>
  <si>
    <t>Part of INDC; Pilot market infiltration in selected cities done.</t>
  </si>
  <si>
    <t xml:space="preserve">The NAMA will support the government's goal of increasing the use of Kazakhstan's cheap and clean natural gas for transport. It will do this by first developing the infrastructure to supply compressed natural gas (CNG) throughout the country and later also developing the infrastructure for liquefied natural gas (LNG). </t>
  </si>
  <si>
    <t xml:space="preserve">Extending CNG to medium and small commercial players (2016-18), Fuel switching in agriculture, construction and other specialty vehicles (2019-2020), Comprehensive market penetration (2021-25). The national gas operator JSC KazTransGas will implement the NAMA by  constructing a network of 35 to 100 CNG fueling stations.
 </t>
  </si>
  <si>
    <t>Switch to CNG</t>
  </si>
  <si>
    <t>NAMA0142</t>
  </si>
  <si>
    <t>NS-249</t>
  </si>
  <si>
    <t>Rainfed Mountain Belt Reforestation</t>
  </si>
  <si>
    <t>Main Department of Forestry, Ministry of Agriculture and Water Resources</t>
  </si>
  <si>
    <t xml:space="preserve">Development of a complete land inventory on Uzbekistan’s mountain regions, altitude between 600-1,400 m (300,000 USD), Sustainable land-use and reforestation suitability analysis (75,000 USD), Development of a comprehensive Reforestation and Forest Farming Plan (100,000 USD), Development of finance and operations facilities (75,000 USD).
</t>
  </si>
  <si>
    <t xml:space="preserve">Some GEF/UNDP Small Grants Forest Programmes have been implemented. While the National Forest Programme and the Forest Code is under preparation, forest management is governed by 5-yearly-forestry plans approved by Ministry of Agriculture and Water Resources </t>
  </si>
  <si>
    <t xml:space="preserve">Reforestation of initially 30,000 hectares (by 2030) and 400.000 hectares (long-term) of foothill slopes, currently used for low productive wheat production and as pasture land, with native tree species. Building on early stand-alone rain fed mountain belt regeneration  the NAMA will follow an ambitious implementation schedule (2.000 ha per annum in average), coordinating the national roll-out . Pilot sites (of +/- 100 hectares each) will be selected </t>
  </si>
  <si>
    <t>Development of plan</t>
  </si>
  <si>
    <t>Biogas for onsite power generation for medium/large pig Farms</t>
  </si>
  <si>
    <t>NAMA0143</t>
  </si>
  <si>
    <t>NS-250</t>
  </si>
  <si>
    <t>Department of Livestock Production, Ministry of Agriculture and Rural Development of Viet Nam</t>
  </si>
  <si>
    <t>Methane avoidance from manure</t>
  </si>
  <si>
    <t>Biogas at large farms</t>
  </si>
  <si>
    <t xml:space="preserve">The total financial support from international donors are $100.6 M including $86M for concessional loan, $10M for loan insurance and $4,6 M for capacity building. The total financial support from Government are $96 M including $86 M for concessional loan and $ 10 M for loan insurance.
</t>
  </si>
  <si>
    <t>Assuming that 50% of pig farms will be implemented in the biogas NAMA in 2020, there will be about 2150 farms with installed biogas power generation system with total capacity in 2020 is 215 MW (2150 farms x 100 kW/farm).</t>
  </si>
  <si>
    <t>Specific objectives: •To develop a policy and institutional framework to incentivize investment in commercial biogas-electricity generation at pig farms in Viet Nam. •To enhance the development of biogas-electricity generation at pig farm in order to reduce GHG emission and contribute to agricultural sector target which described in “National Climate Change Strategy of Viet Nam: To reduce 20% of GHG emission from agricultural sector after each 10 year”. •To improve pig farm capacity on affection abiding national regulatory standard for waste treatment.</t>
  </si>
  <si>
    <t>Creating employment opportunities for the operation and maintenance of electricity generation systems for the communities, especially for farmers. Considerable reduction in odor from the existing treatment facility.</t>
  </si>
  <si>
    <t>NAMA0144</t>
  </si>
  <si>
    <t>NS-251</t>
  </si>
  <si>
    <t>Supporting Program for Wind Power Development in Viet Nam</t>
  </si>
  <si>
    <t xml:space="preserve">Institute of Energy, Ministry of Industry and Trade </t>
  </si>
  <si>
    <t>Create a new opportunity for job and income improvement; Reduce costs associated with air pollution such as both healthcare and environmental costs.</t>
  </si>
  <si>
    <t>Support for the development of this NAMA was provided by the Facilitating Implementation and Readiness for Mitigation Project funded by the Danish International Development Agency through UNEP-DTU Partnership.</t>
  </si>
  <si>
    <t>No large biogas plants in Vietnam until now. Support for the development of this NAMA was provided by the Facilitating Implementation and Readiness for Mitigation Project funded by the Danish International Development Agency through UNEP-DTU Partnership.</t>
  </si>
  <si>
    <t>The overall objective of this NAMA is to promote wind energy and to contribute to the reduction of GHG emissions in Viet Nam by removing barriers on policy, capacity and technology. The specific obectives are aiming to:
*    Enhance the collaboration and the engagement of relevant ministries to development wind power development;
*    Improve the support for investment progress of wind projects.  
The scope of the Program is national wide. Timeframe of the first phase is from 2016 to 2020, and the second phase is 10 years from 2021 - 2030. .The budget for phase1 is estimated about 14 million, for phase 2 it is estimated around US$ 20 million.</t>
  </si>
  <si>
    <t>The scope of the Program is national wide. Timeframe of the first phase is from 2016 to 2020, and the second phase is 10 years from 2021 - 2030. .The budget for phase1 is estimated about 14 million, for phase 2 it is estimated around US$ 20 million.</t>
  </si>
  <si>
    <t>NAMA0145</t>
  </si>
  <si>
    <t>NAMA Urban Passenger Transport Ulaanbaatar</t>
  </si>
  <si>
    <t>NS-254</t>
  </si>
  <si>
    <t>Ulaanbaatar Transportation Department (UTD)</t>
  </si>
  <si>
    <t>Energy demand</t>
  </si>
  <si>
    <t xml:space="preserve">NAMA Enabling Activities (EAs) are interventions that create necessary, favourable or conducive conditions for the uptake of the Mitigation Actions and, therefore, have an indirect impact on GHG emission reductions and SD benefits. They include the establishment of a NAMA Managing Entity which cooperates between stakeholders, supervises NAMA implementation and realizes the various Enabling Activities, the implementation of a NAMA MRV System including an urban GHG transport inventory, NAMA Policy Support, consisting in technical and policy advice, coordination and facilitation activities in areas such as integrated ticketing, modal integration, TDM and NMT and NAMA Capacity Building and Training. </t>
  </si>
  <si>
    <t xml:space="preserve">MA1 BRT: Performance Guarantee Fund worth 55 MUSD
MA2 Metro: Low-cost capital for infrastructure worth 500 MUSD
MA3 LPG taxis: technical assistance worth 1 MUSD
MA4 LCB: Low-carbon bus fund worthy 19 MUSD
</t>
  </si>
  <si>
    <t xml:space="preserve">Financial leverage of proposed climate finance: factor 4 / factor 7 </t>
  </si>
  <si>
    <t xml:space="preserve">5.0 billion USD saved in economic, social and environmental costs, including savings in time, fossil fuels, accident costs, and health related air pollution costs </t>
  </si>
  <si>
    <t>The NAMA contributes by around 20% towards achieving the mitigation target of 14% lower GHG emissions compared to BAU as set out in the INDC of Mongolia.</t>
  </si>
  <si>
    <t xml:space="preserve">Inducing a transformational change in the city towards lowcarbon sustainable passenger transport by doubling the mode share of public transport compared to BAU: 1) BRT system with 65km of bus-only lanes, 2) Establishment of a metro of 18km, 3) Retrofit of taxis to LPG, 4) Low-carbon buses including hybrids and electric trolleybuses </t>
  </si>
  <si>
    <t>13-08-2013 and 01-aug-16, and 01-12-2016</t>
  </si>
  <si>
    <t>NAMA0146</t>
  </si>
  <si>
    <t>Low Carbon Coffee in Dominican Republic</t>
  </si>
  <si>
    <t>NS-256</t>
  </si>
  <si>
    <t>Consejo Dominicano del Café (CODOCAFE)</t>
  </si>
  <si>
    <t>The Coffee NAMA includes four measures for reducing GHG in the subsector: 1. reduction in the use of nitrogenised fertilizers and N2O emissions, 2. avoidance of methane through improved treatment and reuse of wastewater in mills, 3. improved use and management of biomass as energy source instead of wood and 4. carbon capture through spread of agro-forestry systems.</t>
  </si>
  <si>
    <t>The Dominican Republic government aims to implement the Coffee NAMA in a participatory process between 2017 and 2028. It pretend to cover the two most important GHG sources in national coffee subsector: the coffee farms and the mills.</t>
  </si>
  <si>
    <t>Resubmitted    09-Feb-2017</t>
  </si>
  <si>
    <t>Australian NAMA Initiative</t>
  </si>
  <si>
    <t>NAMA0147</t>
  </si>
  <si>
    <t>NAMA0148</t>
  </si>
  <si>
    <t>NAMA0149</t>
  </si>
  <si>
    <t>NAMA0150</t>
  </si>
  <si>
    <t>Green Urban Mobility Solution for Zambian City Integrated Tramway</t>
  </si>
  <si>
    <t>NS-257</t>
  </si>
  <si>
    <t>Sustainable Agriculture through Integrated Crop and Livestock Farming</t>
  </si>
  <si>
    <t>NS-259</t>
  </si>
  <si>
    <t>Small Hydro Projects Development in Zambia</t>
  </si>
  <si>
    <t>NS-260</t>
  </si>
  <si>
    <t>Integrated Waste Management</t>
  </si>
  <si>
    <t>NS-261</t>
  </si>
  <si>
    <t>Annual reduction in 2030 MtCO2e/yr</t>
  </si>
  <si>
    <t>Reduced congestion that results in saved time and energy.  Improved air quality. There will be equity and poverty reduction.</t>
  </si>
  <si>
    <t xml:space="preserve">(iii) to integrate affected stakeholders such as proprietors of minibuses, minibus drivers, conductors, etc; 
(iv) to establish the institutional systems needed for the coordination, implementation, and MRV of the NAMA; and 
(vi) to develop legislation, policies and regulatory framework to enhance safety and  facilitate implementation.    </t>
  </si>
  <si>
    <t xml:space="preserve">The main interventions are provided as follows: 
(i)reduction of GHG emissions arising through reduced vehicular traffic in Lusaka and Kitwe by introducing efficient tramway system as means of public transport;                                                                                                                                                                                                                       (ii) setting up and operationalizing public-private sector based Tramway fleet(Lusaka Tramway with four lines; and Kitwe Tramway with three lines); </t>
  </si>
  <si>
    <t>Tramways</t>
  </si>
  <si>
    <t>Lusaka, Kitwe</t>
  </si>
  <si>
    <t>Department of Agriculture under the Ministry of Agriculture</t>
  </si>
  <si>
    <t>Rural poverty reduction, increased employment, biodiversity preservation, and food and nutrition security.</t>
  </si>
  <si>
    <t xml:space="preserve">(iii) re-duction of GHG emissions through use of improved ma-nure management (i.e. biogas production); and (iv) en-gagement of relevant stakeholders on policies related to scaling up sustainable agriculture and GHG emissions reduction. </t>
  </si>
  <si>
    <t xml:space="preserve">The main interventions are as follows: 
(i) reduction of GHG emissions from agriculture through promotion of use of fertilisers with high nutrient efficiencies and use of improved crop varieties and improved management practices through conservation agriculture; 
(ii) reduction of GHG emissions from livestock through introduction and promotion of pasture conservation and through improved breeds coupled with integrated pest and disease control; 
</t>
  </si>
  <si>
    <t>Conservation agriculture</t>
  </si>
  <si>
    <t>Ministry of Energy and Water Development; Department of Energy</t>
  </si>
  <si>
    <t>Private: 42.2 MUS$,                                                        Governmemt: 12.8 MUS$</t>
  </si>
  <si>
    <t xml:space="preserve">(i) health (improved child and maternal health and reduced mortality rates);   (ii) education (improved opportunities for girl child and women’s education);  (iii) food security (improved agriculture activity);  (iv) rural development (increased investments);  (v) employment creation (creation direct and indirect employment); </t>
  </si>
  <si>
    <t>This NAMA proposes implementation of six small hydro sites. The selected sites are: Chavuma and Chanda Falls, Chikata Falls, West Lunga, Zengamina and Kasanjiku in North Western Province and Chilinga in Eastern Province.</t>
  </si>
  <si>
    <t xml:space="preserve">The proposed total installed capacity is 25.59MW with an estimated generation of 42.39 GWh, 61.21Gwh and 85.45GWh in the year 2020, 2025 and 2030, respectively. </t>
  </si>
  <si>
    <t>MW in 2030</t>
  </si>
  <si>
    <t>Small hydro power</t>
  </si>
  <si>
    <t>North Western Province and Eastern Province.</t>
  </si>
  <si>
    <t>Ministry of Local Government and Housing for solid waste management, and the National Water and Sanitation Council (NWASCO) for waste water management</t>
  </si>
  <si>
    <t>Private: 86 MUS$,                                                        Governmemt: 6 MUS$</t>
  </si>
  <si>
    <t xml:space="preserve">Job creation for those that will be involved in recycling and in the collection and disposal of the increasing amounts of wastes and generation of electricity. Other co-benefits are improved health of the population in the targeted areas and increased aesthetic value of the clean surroundings. </t>
  </si>
  <si>
    <t xml:space="preserve">The NAMA proposes implementation of four (4) core activities namely; 
(i) increasing the collection and disposal of municipal solid waste up to 80% by the year 2030 in Lusaka, Kitwe, Ndola and Livingstone; 
(ii) promoting the practice of solid waste segregation so that by 2030, 90% of recyclable materials are recovered at source and the business of recycling is enhanced; 
</t>
  </si>
  <si>
    <t xml:space="preserve">(iii) improving solid waste treatment, disposal and GHG emission reduction in the four selected cities through development of Mechanical Biological Treatment (MBT) and anaerobic digestion infrastructure for biogas capture to generate electricity; 
(iv) installation of sludge digesters for each of the mechanical treatment plants as follows: 2 in Lusaka, 4 in Ndola and 1 in Kitwe for electricity generation. </t>
  </si>
  <si>
    <t>Lusaka, Kitwe, Ndola, and Livingstone</t>
  </si>
  <si>
    <t>The aim of NAMA is to supplement on-going initiatives for energy-efficient housing as laid out in Mexico's Special Climate Change Programme and as currently operated by INFONAVIT.  The two objectives of the NAMA are:                                         1. Extend penetration of basic efficiency standards to the entire new housing market in Mexico 2. Upgrade efficiency standards to more ambitious levels</t>
  </si>
  <si>
    <t>Under implementation according to the Mexico - NAMA Database site. An MRV system has been developed to measure the performance of every energy efficiency action and the overall performance of a house.</t>
  </si>
  <si>
    <t>Energy efficiencyin public buildings programme (EEPBP)</t>
  </si>
  <si>
    <t>TRANSPerú - Peru Sustainable Urban Transport NAMA Support Programme</t>
  </si>
  <si>
    <t>Tunisia – Scaling-up Renewable Energy and Energy Efficiency in the Building Sector</t>
  </si>
  <si>
    <t>Philippines – Enabling Distributed Solar Power in the Philippines</t>
  </si>
  <si>
    <t>Philippines</t>
  </si>
  <si>
    <t>Thailand – Thai Rice NAMA</t>
  </si>
  <si>
    <t>Brazil - Resource Efficiency Program for Brazil’s Beef Supply Chain</t>
  </si>
  <si>
    <t>Mexico - Energy Efficiency in SMEs as a Contribution to a Low Carbon Economy in Mexico</t>
  </si>
  <si>
    <t>Uganda - Revolving Loan Fund for the Uptake of Improved Institutional Cook Stoves (IICS) in Schools</t>
  </si>
  <si>
    <t>NS-267</t>
  </si>
  <si>
    <t>Cuba</t>
  </si>
  <si>
    <t>Reducing greenhouse gas emissions in cuban pig production</t>
  </si>
  <si>
    <t>Grupo Empresarial Ganadero (Cattle Business Group)</t>
  </si>
  <si>
    <t>The NAMA comprises the installation of 3370 biodigesters systems: 1276 in small pig farms, 1914 in medium pig farms and 180 in large pig farms. These biodigesters systems will be of different technologies (tubular, fixed dome, covered lagoons) depending on the size of the farm.</t>
  </si>
  <si>
    <t>Reducing greenhouse gas emissions in Cuban pig production through the promotion of technologies for the capture and use of biogas (heat and electricity) obtained as a result of the treatment of pig wastewater. Request support for: 1.Updating the baseline and highlighting development scenarios in Cuban pig production;
2.Finalize the evaluation of the technological variants proposed in correspondence with the size of the farm and the specificities of the localities where they are located;
3.Design the MRV system and elaborate the specific technical requirements and procedures for its implementation;
4.Elaboration of feasibility study for the project Reduction of emissions of greenhouse gases in the Cuban pig production;
5.Conduct studies on environmental and social safeguards with a gender perspective.</t>
  </si>
  <si>
    <t>Appropriate Mitigation Actions in Energy Generation and End Use Sectors in Sri Lanka</t>
  </si>
  <si>
    <t>NS-269</t>
  </si>
  <si>
    <t>Sri Lanka</t>
  </si>
  <si>
    <t>Sri Lanka Sustainable Energy Authority</t>
  </si>
  <si>
    <t>Support from Global Environment Facility under GEF Cycle 5</t>
  </si>
  <si>
    <t xml:space="preserve">Development of a robust, transparent and functional NAMA framework along with clear inventory and MRV system with supporting governance and oversight.             1.  Develop a robust provincial inventory system that could be updated periodically and aggregated at the national level using web-based EnerGIS database management system.
2. Develop a decision making tools such as MACC tools for analyzing and prioritizing a pipeline of bankable NAMA that could be implemented.
3. Leverage public, private and CSOs resources through the NAMA Implementing Entity for the implementation of bankable RE and EE NAMAs based on viable and cost effective business models to incentivize value chain actors to reduce supply risks and create demand and
4. Develop a robust and transparent MRV system that are accurate, reliable and credible and avoid double accounting. </t>
  </si>
  <si>
    <t>1. Establish the MRV framework  in the country   2. Build the capacity of relevant parties   3. Establish the provincial level GHG inventory 
3. Implement the pilot projects such as Solar,Biogas and HEM (To test and verify the framework, this project will seek to overcome the regulatory, institutional, technical, financial and social barriers for the scaling up of RE and EE NAMA through the dissemination of 1,000 bio-digesters, 1,300 high efficiency motors in tea factories, and 205 solar PV net metering systems with battery storage.)</t>
  </si>
  <si>
    <t>All Energy</t>
  </si>
  <si>
    <t>Renewables and EE</t>
  </si>
  <si>
    <t>Solar, Biogas, and EE-industry</t>
  </si>
  <si>
    <t>NS-95, NS-121, NS-124, NS-201, NS-242, NS-269</t>
  </si>
  <si>
    <t>NS-271</t>
  </si>
  <si>
    <t>El Salvador</t>
  </si>
  <si>
    <t>Catalytic Program for Energy Efficiency in Public Buildings (ProCEEEP)</t>
  </si>
  <si>
    <t xml:space="preserve">National Energy Council, Government of El Salvador </t>
  </si>
  <si>
    <t>EE</t>
  </si>
  <si>
    <t>EE public buildings</t>
  </si>
  <si>
    <t xml:space="preserve">ProCEEEP will target technological changes in air conditioning systems and lamps that are currently installed in public buildings. This will be achieved through the replacement of 20% of the inefficient equipment currently used (air conditioners and lamps) by high efficiency technologies in the public building sector (e.g. inverter mini splits and LED lamps). </t>
  </si>
  <si>
    <t xml:space="preserve"> ProCEEEP builds on the experience of previous EE projects in El Salvador.</t>
  </si>
  <si>
    <t>The financial support mechanism will be based in the FEEEP, which is currently being developed by CNE, the Ministry of Finance (MH), and BANDESAL. The FEEEP will raise the financial resources needed to enable public institutions to undertake investments in highly efficient and environmentally friendly equipment in their own facilities. EE investments will then be repaid back to the FEEEP with the savings achieved.</t>
  </si>
  <si>
    <t>EE lighting and air conditioning</t>
  </si>
  <si>
    <t>NS-273</t>
  </si>
  <si>
    <t>Removal of atmospheric carbon through recuperation of degraded Chilean agricultural soils</t>
  </si>
  <si>
    <t>Ministry of Agriculture</t>
  </si>
  <si>
    <t xml:space="preserve">Initial work on the NAMA has been carried out in a three-year project funded within Chile, focused on description of carbon changes under certain subsidized practices. Moving forward, a number of pilot sites established in recent years must be maintained with the practices in order to validate and quantify expected soil carbon gains, including their rates of change over time. </t>
  </si>
  <si>
    <t xml:space="preserve">Environment-Canada, 2012-2013 </t>
  </si>
  <si>
    <t>Recycling of organic residues, non-disruptive tillage, measures against erosion, integrated production systems</t>
  </si>
  <si>
    <t>With the expansion of agriculture, the world´s soils have released a significant portion of the indigenous soil organic carbon (SOC) as CO2 into the atmosphere. This is mainly due to soil disturbance – ploughing, for example – and the removal of plant residues, causing the net oxidation of relevant fractions of the SOC, especially of those fractions related to fresh residues and less stabilized compounds. Today, it is well known that the process can not only be stopped but also reversed.</t>
  </si>
  <si>
    <t>No tilling</t>
  </si>
  <si>
    <t>Soil carbon increase</t>
  </si>
  <si>
    <t>NS-274</t>
  </si>
  <si>
    <t>NS-275</t>
  </si>
  <si>
    <t>NS-276</t>
  </si>
  <si>
    <t>NS-277</t>
  </si>
  <si>
    <t>NS-278</t>
  </si>
  <si>
    <t>NS-279</t>
  </si>
  <si>
    <t>NS-280</t>
  </si>
  <si>
    <t>NAMA0151</t>
  </si>
  <si>
    <t>NS-281</t>
  </si>
  <si>
    <t xml:space="preserve">The promotion of small scale CHPs in the Republic of Moldova </t>
  </si>
  <si>
    <t xml:space="preserve">Promotion of heat pumps in the Republic of Moldova </t>
  </si>
  <si>
    <t xml:space="preserve">Promotion of wind power plants (WPP) in the Republic of Moldova </t>
  </si>
  <si>
    <t>Use of solar energy for domestic hot water production in the Republic of Moldova</t>
  </si>
  <si>
    <t>Promoting Energy Efficient Lighting in the Republic of Moldova</t>
  </si>
  <si>
    <t xml:space="preserve">Hybrid and electric buses and minibuses in the city of Chisinau </t>
  </si>
  <si>
    <t>Clinker substitution at cement production</t>
  </si>
  <si>
    <t xml:space="preserve">Ministry of Agricultur, Regional Development and Environment </t>
  </si>
  <si>
    <t>CHP</t>
  </si>
  <si>
    <t xml:space="preserve">NAMA will be implemented in two phases: Readiness phase (Phase I, Year 1-Year 3) and Scale-up phase (Phase II, Year 4-Year 8). 
The focus of the “Readiness Phase” is to develop and implement activities necessary for the promotion and facilitation of the construction of small scale CHPs and to build a CHP of 75 kWe to supply heat to Falesti Hospital. </t>
  </si>
  <si>
    <t>The objective of the NAMA is to implement 40 small scale high efficiency CHPs plants, ranged from 40kWe to 1000kWe, with a total capacity of about 20MW, at sites where heat loads exist throughout the year such as hospitals, hotels, residential living blocks, industrial enterprises etc. The total country potential of such CHPs is much higher and may reach 80 units and more.</t>
  </si>
  <si>
    <t>The National Energy Efficiency Program for the period 2011-2020 approved by the Government of the Republic of Moldova (No. 833 dated November 10th 2011) provides for  promotion of high efficiency cogeneration based on useful heat demand that will conserve primary energy sources, avoid losses in the networks and reduce emissions especially of GHG.</t>
  </si>
  <si>
    <t>Heatpumps</t>
  </si>
  <si>
    <t>The Heat pumps NAMA will be implemented in two phases: Inception Phase (Phase I, Year 1-Year 2) and Scale-up Phase (Phase II, Year 3-Year 12). The goal of the Inception Phase is to install a limited number of heat pumps at different sites and of various capacity across the country, to more exactly identify the heat pumps operation parameters in order to ensure optimal conditions for heat pumps installation and to develop and implement the activities needed to promote and facilitate  the construction of heat pumps.</t>
  </si>
  <si>
    <t xml:space="preserve">Beneficiaries and ESCOs are expected to contribute with about USD 35.968 million. A  limited contribution from national and local budgets of about USD 0.3 million. </t>
  </si>
  <si>
    <t xml:space="preserve">The draft Action Plan on Energy Efficiency for 2016-2018 provide for promotion of efficient technologies, including heat pumps, to meet the heat demands. </t>
  </si>
  <si>
    <t xml:space="preserve">A limited contribution from national and local budgets of about USD 0.16 million. Beneficiaries and ESCO contribution for NAMA implementation is considered to be about USD 8.33 million. </t>
  </si>
  <si>
    <t>13160 heat pumps of different capacities will be installed in  residential detached buildings, industrial and commercial enterprises, schools, hotels, restaurants and other premises. Most heat pumps (12654) will be of small capacity ranging from 12 kW to 19 kW and will be installed by the owners of the existing or newly built detached buildings. About 500 heat pumps of medium capacity of 50 kW will be installed at different enterprises, schools, hotels, restaurants and other premises to  meet the heating and hot water supply demands. About 6 large heat pumps of 1 MW capacity will be installed at waste water treatment plants and other enterprises .</t>
  </si>
  <si>
    <t>The overall objective of this NAMA is large  scale implementation, by 2030 , of Wind Power  Plants with a total capacity of about 400 MW.</t>
  </si>
  <si>
    <t>The wind installations to be built will be located in eight Parks at an altitude of 190-350 m, with towers of about 100-120 m, where the average annual wind speed is 6-7 m / sec. The Wind Farms Capacity Factor falls within the range of 0.35-0.43. The cost of energy will be between  4.35 and 4.41 c € / kWh</t>
  </si>
  <si>
    <t>It was assumed that a specific investment  for WPP equals to 1600 euro/kW. Up to 2016 2.33 MW of wind farms have been built in the Moldova.</t>
  </si>
  <si>
    <t>Technological support is needed to acquire 286,570 solar collectors. Solar panels with vacuum tubes is an acknowledged technology.</t>
  </si>
  <si>
    <t>The total number of solar panels required to implement this NAMA by 2030 is 316,054 (aperture area is 1,645 m2 per collector), and the required investment is 492.75 million euro.</t>
  </si>
  <si>
    <t>The goal of the NAMA is to convert all non-LED lighting systems to LED-based systems in the street lighting, public buildings and residential buildings sectors by 2030.</t>
  </si>
  <si>
    <t>LED lighting</t>
  </si>
  <si>
    <t>All Lighting</t>
  </si>
  <si>
    <t xml:space="preserve">LEDs </t>
  </si>
  <si>
    <t>Transports</t>
  </si>
  <si>
    <t>Electric buses</t>
  </si>
  <si>
    <t>The total number of vehicles considered within this NAMA is 130 buses and 1842 minibuses.  This NAMA is proposed to be implemented in 5 years – 26 electric buses and 370 hybrid minibuses annually</t>
  </si>
  <si>
    <t>General objective – the promotion and implementation of cleaner technologies in urban transport such as electric and hybrid vehicles and  reducing the environmental (less GHG emissions), economic (lower expenditures on fossil fuels) and social impacts (health benefits) impacts of conventional technologies used in the passenger transport sector. This NAMA is intended to be implemented in the city of Chisinau.</t>
  </si>
  <si>
    <t>NAMA0152</t>
  </si>
  <si>
    <t>NS-282</t>
  </si>
  <si>
    <t>NAMA0153</t>
  </si>
  <si>
    <t>NS-283</t>
  </si>
  <si>
    <t>NAMA0154</t>
  </si>
  <si>
    <t>NS-284</t>
  </si>
  <si>
    <t>NAMA0155</t>
  </si>
  <si>
    <t>NS-285</t>
  </si>
  <si>
    <t>The overall objective of the NAMA on Clinker Substitution at Cement Production in the Republic of Moldova is to replace the conventional cement production technology (Ordinary Portland Cement – OPC) with a new cement production technology called “Solidia technology” by 2030, which allows to reduce the carbon footprint up to 70% compared to the OPC in the entire process – from production to end use.</t>
  </si>
  <si>
    <t>In Moldova there are two cement production plants – one owned by Lafarge, French company,  situated in Rezina city and the second is situated in Ribnita city and owned by a Russian company.</t>
  </si>
  <si>
    <t>This NAMA will follow a two phases approach: a) Preparation Phase (2018-2024) - to extend the national policy and regulatory framework to support cement clinker substitution using one common approach to standardize cement types; b) Phase II (2025-2030) – to effectively replace the OPC with the Solidia Technology .</t>
  </si>
  <si>
    <t>Reducing GHG emissions from Enteric Fermentation by including dried grape marc in cattle ratios.</t>
  </si>
  <si>
    <t xml:space="preserve">Every year about 600 thousand tons of grapes are produced and processed in the Republic of Moldova.  After processing (de-juicing) about 40-50 thousand tons of dried grape marc with humidity of 9-14% remain. The fats and tannins contained in marc can reduce the formation of enteric methane by 18-23%. Dry marc can replace the grass concentrates in ruminant ratios by up to 20-25% and its price is lower than of the concentrates. </t>
  </si>
  <si>
    <t xml:space="preserve">The number of cattle expected to be involved in this technology for the relevant years (59 million heads cows and 60 thousand other cattle in 2020, 90 and respectively 70 thousand heads, by 2030). The costs are related not to the need to buy dried grain but rather to the need to purchase the machines for drying the marc.
</t>
  </si>
  <si>
    <t>Implementation of soil conservation tillage system in the Republic of Moldova.</t>
  </si>
  <si>
    <t>Soil conservation</t>
  </si>
  <si>
    <t>No tillage</t>
  </si>
  <si>
    <t xml:space="preserve">Three technologies have been selected for further promotion, namely: 1) No till soil cultivation system with preliminary positive recovery of the post-arable layer and use of vetch as intermediary crop for green fertilizer (NTV). 2) Mini-Till soil cultivation system with preliminary positive recovery of the post-arable layer and use of vetch as intermediary crop for green fertilizer (MTV). 3) Classic tillage
</t>
  </si>
  <si>
    <t>The target is to implement the NTV, MTV and CTV technologies across a total area of 600,000 hectares, which accounts for 36% of the total arable land of the country. It is planned to use each of the three technologies on 200,000 hectares, on 20,000 hectares each year during 10 years, starting with year 2014.</t>
  </si>
  <si>
    <t>Accumulated GHG reduction in 2030 MtCO2e</t>
  </si>
  <si>
    <t xml:space="preserve">Afforestation of degraded land, riverside areas and protection belts in the Republic of Moldova </t>
  </si>
  <si>
    <t>Afforestration</t>
  </si>
  <si>
    <t>Central forestry authority (Agency Moldsilva) has afforested about 1,200 ha of degraded land annually over the last years.</t>
  </si>
  <si>
    <t>In the Republic of Moldova, only about 11% of the country’s territory are covered by forests. Over the last decades, land affected by soil erosion increased by about 6,400 ha annually. Today, about 880,000 ha of land nationwide are eroded, which is equivalent to one-fourth of the country’s total territory or 40% of the agricultural land.</t>
  </si>
  <si>
    <t>The NAMA has the objective to reverse the trend of forest and land degradation and to enhance carbon sequestration by 261,600 tCO2 annually until 2030 by afforesting 45,000 ha of degraded, unproductive land and by establishing 15,000 ha of riparian forest belts and 1,500 ha of protection forest belts in agricultural systems. In total, 61,500 ha will be afforested at an annual afforestation rate of 4,393 ha.</t>
  </si>
  <si>
    <t>Use of energy willow for heat generation in the Republic of Moldova</t>
  </si>
  <si>
    <t>Waste to Energy (WTE) NAMA in The Republic of Moldova</t>
  </si>
  <si>
    <t>To date, there are only a few energy willow plantations in Moldova, totalling an area of up to 50 ha.</t>
  </si>
  <si>
    <t>This NAMA aims to support the cultivation of energy willow over 20,000 ha across Moldova, starting with a 62.64 ha pilot project in Taraclia. The calorific vale of pellets or briquettes produced from energy willow (4,900 kCal) is higher than that of beech or oak.</t>
  </si>
  <si>
    <t xml:space="preserve">This NAMA considers the potential for using willow biomass as input fuel for heating residential and non-residential buildings in the Republic of Moldova with wood pellets. </t>
  </si>
  <si>
    <t>Biomass briquettes or pellets</t>
  </si>
  <si>
    <t>Forestry with willows</t>
  </si>
  <si>
    <t xml:space="preserve">The waste sector in The R. of Moldova accounts for 12.2% of the country’s greenhouse gas (GHG) emissions, with estimated emissions of 1,565,800 tCO2e. The bulk of the sector’s emissions come from solid waste. </t>
  </si>
  <si>
    <t xml:space="preserve">There will be ten (10) individual interventions. The NAMA, to take place in solid waste disposal sites (SWDS), involves installation of systems of equipment to achieve two elements in relation to GHG mitigation: Collection of landfill gas (LFG) and destruction of the methane contained in it; and Use of the collected LFG for renewable electricity generation without reliance on fossil fuel.  Total generation capacity installed per NAMA and working on LFG is equal to 4 MW.  </t>
  </si>
  <si>
    <t>NAMA0156</t>
  </si>
  <si>
    <t>Subnational mitigation actions for the restoration of degraded forests and the implementation of planned grazing</t>
  </si>
  <si>
    <t>NS-272</t>
  </si>
  <si>
    <t>Grupo Ecológico Sierra Gorda, I.A.P.</t>
  </si>
  <si>
    <t xml:space="preserve">Forest restoration: New source of income for landholders and strengthening of a conservation economy. Restoration of hydrologic recharge zones. Preservation of lands with high biological values. Regeneration of degraded forests, reduction of forest fragmentation and fires, and soils undergoing desertification. Planned grazing: Additional income resulting from increased productivity. Increased water capture and grass production for cattle, risk reduction for droughts and climate change effects. </t>
  </si>
  <si>
    <t xml:space="preserve">1. Absence of cattle on forest parcels, 2. Presence of natural regeneration on forest parcels, 3. Tons of forest soil retained, 4. Number of ranches with planned grazing, 5. Number of hectares with planned grazing,  6. Increased water storage of 144,000 liters per 1% carbon increase in soils/ha.
</t>
  </si>
  <si>
    <t>This NAMA promotes the establishment of state funding mechanisms and the replication of successful pilot project mitigation actions of planned grazing and forest restoration to contribute to the mitigation and adaptation goals of the Nationally Determined Contributions (NDCs) of Mexico under the Paris Agreement.</t>
  </si>
  <si>
    <t>The Initiative for Climate Action Transparency (ICAT) series of guidance will be applied to estimate the climate and other benefits of this NAMA. The NAMA seeks to be a pilot project of ICAT. The implementation of this NAMA component was successfully begun as a pilot project on approximately 82,000 hectares in the states of Querétaro, San Luis Potosí, Chihuahua and Sonora.</t>
  </si>
  <si>
    <t>This policy activity will build upon the successful state carbon offset mechanism of Querétaro, where the state government has offset emissions of the state vehicle fleet and established a carbon tax on private vehicles registered in the state with proceeds used to partially offset emissions of those vehicles. As part of the NAMA, similar state funding mechanisms will be developed in other states.</t>
  </si>
  <si>
    <t>Reforestation</t>
  </si>
  <si>
    <t>Forest restoration and planned grazing</t>
  </si>
  <si>
    <t>Domestic solar PVs</t>
  </si>
  <si>
    <t xml:space="preserve">Greening Thailand's Low and Middle Income Housing </t>
  </si>
  <si>
    <t>NS-287</t>
  </si>
  <si>
    <t>Greening Thailand’s Government Buildings</t>
  </si>
  <si>
    <t>NR-286</t>
  </si>
  <si>
    <t>NAMA0157</t>
  </si>
  <si>
    <t>NAMA0158</t>
  </si>
  <si>
    <t>Pollution Control Department (PCD)</t>
  </si>
  <si>
    <t xml:space="preserve">The estimated emission reduction is divided into (1) project emission reduction based on the assumption that 10 buildings per year will join the project and (2) whole potential reduction which targets all large government buildings joining under government policy - Project potential : 1,634 tCO2/ yrs - All large government bldg (639 Bldg.) : 98,808 tCO2/ yrs </t>
  </si>
  <si>
    <t>The proposed NAMA engages the Pollution Control Department (PCD) to implement a green building standard and certification scheme for existing government buildings. It will support the National Pollution Control Committee in the development of an energy efficiency standard for existing government buildings.</t>
  </si>
  <si>
    <t>Government buildings</t>
  </si>
  <si>
    <t>Economic: (1) Reduced utility cost of government budget; (2) Increased energy security from demand-side reductions; (3) Increased market demand for energy efficiency products and business; (4) Increased productivity from a greener and healthier work environment. Environmental: (1) Reduced GHG emissions from reduced electricity generation; (2) Reduced use of water and other natural resources; (3) improved government building environment. Social: (1) Positive health effects from better air quality; (2) Job creation and economic development; (3) Capacity building and skills development.</t>
  </si>
  <si>
    <t xml:space="preserve">1.National Housing Authority, 2.Electricity Generating Authority of Thailand </t>
  </si>
  <si>
    <t xml:space="preserve">1. Develop a green building labelling scheme in line with Ecovillage, to be accredited and launched by EGAT and market this scheme
2. Number of new low and middle income houses developed by NHA achieve green lable accreditation 
3. Develop MRV framework for collection and reporting of operational energy use in buildings 
4. Cost of Green houses compared to those of standard houses
5. Number of houses and amount of money supported by the programme
6. Number of personnel trained for the green building industry </t>
  </si>
  <si>
    <t xml:space="preserve">Economic : 
1. Reduced electricity bill for low-income families
2. Increased energy security from demand-side reductions
3. Increase green material and technology demand
4. Lower market cost of green houses
5. Promote green house market demand
Environmental :
1. Reduced GHG emissions from reduced electricity generation 
2. Reduced use of water and other natural resources
3. Better quality of life
Social :
1. Welfare gains from reduced electricity bills, especially for the lower income populations
2. Positive health effects from better air quality 
3. Job creation and economic development 
4. Capacity building and skills development  </t>
  </si>
  <si>
    <t xml:space="preserve">This NAMA involves a collaboration between the National Housing Authority (NHA) and Electricity Generating Authority of Thailand (EGAT) to apply "Ecovillage" + "Level 5" standards for new low income housing projects in Thailand. The NAMA will address the design aspects of new residential buildings, including materials, energy and water efficient appliances, research and market stimulation to lower the costs of green residential construction. </t>
  </si>
  <si>
    <t>The NAMA will include a demonstration site, capacity-building, MRV and dissemination design standards. To meet above objective, following activities are envisioned in five years : Reduce Green house cost by research and market activities, Standard setting,  and labeling scheme, Marketing and capacity building, Financial supports in form of low interest loan.</t>
  </si>
  <si>
    <t>Domestic buildings</t>
  </si>
  <si>
    <t xml:space="preserve"> The housing sector, in particular, consumed 24% of the electricity used in Thailand in 2015.</t>
  </si>
  <si>
    <t>Building new energy efficient/ green buildings or retrofitting existing government buildings is often economically viable and can further stimulate private investment in commercial and residential sectors. Current government policy plans retrofits based on the operational age of buildings and does not take into consideration the potential to achieve higher levels of energy efficiency . Further, there is no support to achieve standards beyond basic Building Energy Code requirements for new government buildings nor is there an existing system to assess and collect operational energy performance data of government buildings</t>
  </si>
  <si>
    <t>NAMA0159</t>
  </si>
  <si>
    <t>NS-289</t>
  </si>
  <si>
    <t>National Strategy for the Adoption of Efficient Stoves</t>
  </si>
  <si>
    <t>Secretaria de Energia, Recursos Naturales, Ambiente y Minas.</t>
  </si>
  <si>
    <t>Energy efficient stoves</t>
  </si>
  <si>
    <t>A National Strategy wil be develped that contributes to a conducive environment to ensure the adoption of efficient stoves. The Strategy will provide a platform to coordinate and articulate all current and future efficient stove initiatives in Honduras. Considering the need to create synergies among multiple initiatives, the coordination of actors and various efficient stove programs will be one of the main challenges.</t>
  </si>
  <si>
    <t>The NAMA of efficient stoves is expected to reduce by 39% the consumption of firewood in families, helping in the fight against deforestation. By 2030, the NAMA aims to reach 1,125,000 Honduran families,</t>
  </si>
  <si>
    <t xml:space="preserve">Firewood is the largest source of energy in Honduras, representing 46% of final consumption and 86% of domestic use, especially in poor households in rural areas and peri-urban areas of large cities, as well as in micro, small and medium industries (MIPYMES). </t>
  </si>
  <si>
    <t>Efficient use of fuelwood and alternative fuels in indigenous and rural communities in Guatemala</t>
  </si>
  <si>
    <t>NAMA0160</t>
  </si>
  <si>
    <t>NS-293</t>
  </si>
  <si>
    <t>Ministry of Environment and Natural Resources (MARN)</t>
  </si>
  <si>
    <t>The total annual demand for firewood is currently estimated to 16 million tons of dry basis fuelwood generating 8.7 million tCO2e/year (INAB, 2015). Firewood consumption levels range from 2 (in Alta Verapaz) to 4.6 (in Huehuetenango) m3/year/capita.</t>
  </si>
  <si>
    <t>With the NAMA it is expected to reduce by i) minimum 40% the use of firewood in controlled laboratory conditions, and 35% in real households conditions with an improved cookstove. the project will benefit to 1.1 million people mostly indigenous women and children in rural areas and indigenous communities, living in poor and extremely poor conditions.</t>
  </si>
  <si>
    <t>A NAMA Support Project Proposal from GIZ &amp; IDB is attached.</t>
  </si>
  <si>
    <t>The project will benefit to 1.1 million people mostly indigenous women and children in rural areas and indigenous communities, living in poor and extremely poor conditions.</t>
  </si>
  <si>
    <t>From: http://www.nama-facility.org/projects/</t>
  </si>
  <si>
    <t xml:space="preserve">Integrated Waste Management </t>
  </si>
  <si>
    <t>Mass Rapid Transport System for Nairobi</t>
  </si>
  <si>
    <t>Mexico – NAMA for Sugar Mills</t>
  </si>
  <si>
    <t>Tajikistan Forestry NAMA Support Project</t>
  </si>
  <si>
    <t>Gambia - Investing in Grid-Connected Solar PV</t>
  </si>
  <si>
    <t>Burkina Faso Biomass Energy NAMA Support Project</t>
  </si>
  <si>
    <t>NAMA0161</t>
  </si>
  <si>
    <t>Tourism and Waste in the Dominican Republic (Resubmitted 8 March 2018)</t>
  </si>
  <si>
    <t>Energy Efficiency in Public Sector (resubmitted 12. March 2018)</t>
  </si>
  <si>
    <t>Reducing Greenhouse Gases (GHG) Emissions in Pig Farms in the Dominican Republic (Resubmitted 12. March 2018)</t>
  </si>
  <si>
    <t>Blue Carbon NAMA: Conserve and Restore Mangroves in the Dominican Republic (Resubmitted 6. March 2018)</t>
  </si>
  <si>
    <t>NS-297</t>
  </si>
  <si>
    <t>Sustainable and Low Carbon Bovine Livestock Development</t>
  </si>
  <si>
    <t xml:space="preserve">Ministry of Agriculture, Livestock and Food (MAGA) </t>
  </si>
  <si>
    <t>In 2017 Guatemala elaborated its National Low-carbon and Sustainable Bovine Livestock Strategy (NLCSLS).  The NAMA support the 1st phase.</t>
  </si>
  <si>
    <t xml:space="preserve"> The proposed NSP would be the key instrument to implement Phase 1 of the NLCSLS during 5 years in starting in a priority area that covers the departments of Izabal, Petén and Alta Verapaz (Phase 1, 5 years). This region was selected as over 50% of Guatemala’s cattle can be found in this area and expansion of cattle rearing in the past 10 to 15 years has taken place mainly in this area.</t>
  </si>
  <si>
    <t>This NAMA would result in 40,000 ha of improved and cultivated pastures and 300 farms with improved practices, that result by the end of the NAMA (5 years) in the following changes: Baseline value: 5.8 kgCO2e/liter milk - Target value: 3.9 kgCO2e/liter milk (in year 5-end NAMA Support Project); Baseline value: 16.5 kgCO2e/kg beef -Target value: 11.2 kgCO2e/kg beef (in year 5-end NAMA)</t>
  </si>
  <si>
    <t xml:space="preserve">The implementation of good practices and the strengthening of public and private technical assistance capacity in this NAMA will be the basis for increasing the scope of the NSP to over 2,000 farms and 210,000 ha of pasture in the following 10 years through the implementation of Phase 2 and 3 of the NLCSLS with national funds </t>
  </si>
  <si>
    <t>Reduced emissions from cattle</t>
  </si>
  <si>
    <t>Low-carbon Bus NAMA Viet Nam</t>
  </si>
  <si>
    <t>NS-298</t>
  </si>
  <si>
    <t>NAMA0162</t>
  </si>
  <si>
    <t>Ministry of Transport, Department of Environment</t>
  </si>
  <si>
    <t>At present, in Viet Nam public transport emissions from buses are higher than from motorcycles in terms of passenger-kilometre.</t>
  </si>
  <si>
    <t xml:space="preserve">The 1st and main NAMA component comprises financial and technical assistance for the large-scale introduction of hybrid buses, followed by plug-in hybrids and electric buses from 2025 onwards. In the 2019-2021 period, a fleet of 250 buses will be established. The 2nd NAMA component focuses on improving the fuel efficiency of existing buses in Viet Nam by introducing technical and operational measures.  From 2025 onwards, Viet Nam pledges to source only hybrid, plug-in hybrid or electric buses. </t>
  </si>
  <si>
    <t xml:space="preserve">1) introduction of nearly 30,000 hybrid, plug-in hybrid and battery electric buses, 2) low-rolling resistance tyres, idle-stop devices and eco-driving; Phase I, from 2019-2021, concentrates on three cities selected among potential cities such as Ha Noi, Can Tho, Da Nang, HCMC and Hue, while Phase II, foresees the scaling-up and expansion of the NAMA to all of Viet Nam’s major cities. </t>
  </si>
  <si>
    <t xml:space="preserve">Co-benefits include: air quality improvement, energy security, accessibility, city liveability, congestion reduction, noise reduction 
</t>
  </si>
  <si>
    <t>New buses</t>
  </si>
  <si>
    <t>Electric and hybrid buses</t>
  </si>
  <si>
    <t>Support for NAMA development from GIZ project "Creation of a comprehensive framework for NAMAs and MRV in Vietnam"</t>
  </si>
  <si>
    <t>Implementation of the New Housing NAMA Mexico</t>
  </si>
  <si>
    <t>NAMA0163</t>
  </si>
  <si>
    <t>NS-300</t>
  </si>
  <si>
    <t>Forestry NAMA : Strategic framework for Forest Landscape Restoration</t>
  </si>
  <si>
    <t>Ministry of Environment and Sustainable Development Department of Climate Change</t>
  </si>
  <si>
    <t xml:space="preserve">Phase I. PREPARATION PHASE (3 years): Initial preparation of activities, creation of the Coordination Committee of the Forestry NAMA, that will set up the basic elements to consider in the action plans, carry out yearly reviews of project’s indicators, actions and impacts, and will recommend and adopt actions to ensure that the NAMA stays on track and delivers its outcomes. Phase II. IMPLEMENTATION PHASE (6 years):  During this phase most of the territorial activities will take place. Phase III. MONITORING PHASE (3 years): This phase corresponds to the monitoring and following up actions to keep the progress in track. </t>
  </si>
  <si>
    <t>Will create direct jobs. Increased agricultural resilience. Create capacities by spreading knowledge in forest management and other sustainable practices-this will empower the local communities. Visible contributions on hydrological services, erosion control and soil formation, nutrient cycling and waste management, biodiversity conservation and raw materials supply.</t>
  </si>
  <si>
    <t xml:space="preserve">The national strategy “Bosques Territorios de Vida”, proposes actions against deforestation, degradation and associated GEI and promoting the management of forests upon an integral and sustainable approach for rural development. . The territorial approach to stop defor-estation includes different alternatives of tree based systems (TBS) such as sustainable forest man-agement, forest plantations and agroforestry, together with ecological restoration and conserva-tion, to be realized in accordance with the soil aptitude, local conditions and societal and economic scenarios of prioritized regions. </t>
  </si>
  <si>
    <t xml:space="preserve">Forest landscape restoration </t>
  </si>
  <si>
    <t>NAMA0164</t>
  </si>
  <si>
    <t>NAMA0165</t>
  </si>
  <si>
    <t>Iran</t>
  </si>
  <si>
    <t>NS-302</t>
  </si>
  <si>
    <t>Energy Efficiency Improvement in Iran's Agricultural Irrigation Systems through the Replacement of Inefficient Water Pumping Systems (EEIIA)</t>
  </si>
  <si>
    <t>Efficient irrigation</t>
  </si>
  <si>
    <t>Power Generation Management, Transmission and Distribution Company of Iran (Tavanir), Ministry of Energy, Islamic Republic of IRAN.</t>
  </si>
  <si>
    <t>A methodological approach for monitoring the project and  estimating GHGs emission reduction is prepared based on CDM approved methodologies AM0020 and AMS II.P. Grid emission factor is calculated and published by Ministry of Energy in yearly bases. Currently the national grid emission factor for CO2 is about 0.715 Kg/KWh</t>
  </si>
  <si>
    <t>any improvement in irrigation systems efficiency may reduce the electricity bill of the local farmers and have a positive impact on their income level and welfare. At national level, based on recent study by Iranian Fuel Conservation Organization (IFCO,2014), the investment in energy efficiency is 3 times cheaper than investment in installation of new facilities in Iran, so the government may utilizes the saved amount in other development projects</t>
  </si>
  <si>
    <t xml:space="preserve">The EEIIA programme is a sector wide programme to improved energy efficiency of Agricultural irrigation infrastructure with objective to reduce the specific energy consumption per unit of exploited water targeting pumping facilities in well fields and booster stations within the country. The EEIIA programmes is directly aiming energy saving and GHGs emission reduction in different provinces. Also other local pollutants will be reduced as result of saved electricity </t>
  </si>
  <si>
    <t xml:space="preserve">Activity 1: Retrofitting the 60% of existing inefficient pumps population in 2015 by efficient ones during 2018-2030 and selecting optimal size for them .
Activity 2: Promoting the utilization of efficient pumps by farmers (60% of population of yearly installed pumps) in new constructions (green fields ) Activity 3: Transfer of Technology for improvement the technology of the domestic pump manufactures to produce efficient pumps. 
</t>
  </si>
  <si>
    <t>Participatory development and arrangements of the National Strategy and Action Plan for low-carbon water and sewage industry</t>
  </si>
  <si>
    <t>NR-303</t>
  </si>
  <si>
    <t>Tehran Province Water &amp; Wastewater Co.</t>
  </si>
  <si>
    <t xml:space="preserve">In this plan, all the methods and suggestions for the production of renewable energy, the optimization of energy consumption in the water and wastewater industry of the country and the potential for reducing emissions in the industry will be evaluated. </t>
  </si>
  <si>
    <t>The proposed project has these main components:
1.Developing a comprehensive "Master Plan" for Carbon Management in Water and Wastewater Industry
2.Identification and evaluation of sources of greenhouse gas emissions in the water and wastewater industry and estimating the amount of emissions
3.Predicting the emission of greenhouse gases in the country's water and wastewater industry
4.Exploring ways to develop a low-carbon economy in accordance with the country's economic hubs of resistance in the water and wastewater industry
5.Strategic Planning and preparing the master document and emission reduction strategies in the Water and Wastewater Industry</t>
  </si>
  <si>
    <t>The emission estimates and calculations are performed by using the IPCC 2006 ( CHAPTER 6) , DRAFT Greenhouse Gas Emissions Estimation Methodologies for Bionic Emissions from Selected Source Categories: Solid Waste Disposal Wastewater Treatment Ethanol Fermentation, Submitted by RTI International, statistics obtained from the country's wastewater treatment plants.</t>
  </si>
  <si>
    <t>Water pumping and waste water</t>
  </si>
  <si>
    <t>The lion’s share of the preparation and implementation costs arises from the metro and BRT lines to be constructed within the Lima Metropolitan Region (approximately USD 5.9 billion).  The NAMA includes introductian of an electric bus and charging infrastructure into Lima’s municipal transit system to evaluate e-bus viability and replicability.</t>
  </si>
  <si>
    <t>NAMA0166</t>
  </si>
  <si>
    <t>NAMA0167</t>
  </si>
  <si>
    <t>NR-304</t>
  </si>
  <si>
    <t>Energy efficiency and Demand Management Programme to mitigate projected national energy supply shortage</t>
  </si>
  <si>
    <t>Eskom Holdings</t>
  </si>
  <si>
    <t>After an extended period of excess generation capacity and very low electricity prices, South Africa ran into electricity supply constraints in 2007 when the growing need for electricity outpaced the rate at which power stations were being built.  This resulted in the country experiencing repeated power outages from late 2007. In 2004, Eskom officially launched its energy efficiency and demand-side management programme – it evolved over time to be established as the Integrated Demand Management (IDM) Programme.</t>
  </si>
  <si>
    <t xml:space="preserve">The IDM programme encompassed the whole economy - but notably the commercial, residential and industrial sectors – and focussed on the broadest range of electricity end uses and technologies. Lighting, water heating, household appliances, pool pumps, pumping, heating and ventilation, process optimisation, compressed air, efficient motors and variable speed drives offered the most immediate opportunities for electricity savings.  </t>
  </si>
  <si>
    <t>Since the inception of the IDM programme in 2004 total demand savings of 3 990MW have been realised.</t>
  </si>
  <si>
    <t>Implemented</t>
  </si>
  <si>
    <t xml:space="preserve">Industrial Energy Efficiency Improvement in South Africa </t>
  </si>
  <si>
    <t>NR-305</t>
  </si>
  <si>
    <t>UNIDO and NCPC-SA</t>
  </si>
  <si>
    <t>The project aims at contributing to a sustainable transformation of industrial energy usage practices in South Africa by putting the system of Energy Management Standards (EMS) in place and ensuring that industries in agro-processing, chemical and liquid fuels, mechanical engineering, automotive and mining industry use it.</t>
  </si>
  <si>
    <t xml:space="preserve">In order to achieve this goal, it is planned to stimulate the demand of Energy Efficient services through formulation and implementation of an enabling policy framework including a supportive financial mechanism for EE, creation of institutional capacity to implement the EMS, awareness raising, energy audits, and demonstration projects. It is also planned to support the supply of Energy Efficient services by building the institutional capacities to accredit, certify EMS compliance, and by training local trainers and consultants in EMS implementation and energy system optimization, as well as in energy  management in the targeted sub-sectors.       </t>
  </si>
  <si>
    <t>Power sector</t>
  </si>
  <si>
    <t>Government of Switzerland</t>
  </si>
  <si>
    <t xml:space="preserve">384 Industrial and commercial plants engaged, 82 Demonstration plants developed, 58 Case studies produced, 220 Training workshops conducted, 3 200 delegates trained, 155 National EnMS / ESO experts qualified, 53 National EnMS / ESO trainers produced, 40 Lead auditors qualified in ISO 50001              </t>
  </si>
  <si>
    <t>NAMA0168</t>
  </si>
  <si>
    <t>NR-307</t>
  </si>
  <si>
    <t xml:space="preserve">The Gautrain rapid rail network – Part of the Climate Change Near-term Priority Transport Flagship Programme </t>
  </si>
  <si>
    <t xml:space="preserve">National Department of Transport </t>
  </si>
  <si>
    <t xml:space="preserve">The Gautrain Rapid Rail Link is the first rapid rail network in Africa, a modern railway system links  the cities of Johannesburg, Tshwane and Ekurhuleni and the OR Tambo International Airport.  The Gautrain Project is one of the largest transportation projects in South Africa at approximately 80 kilometre (50 mile) of rail network (see https://www.bombela.com/gautrain/ for more information). </t>
  </si>
  <si>
    <t>On 02 August 2011, the route operating from the Gautrain Rosebank station in Johannesburg to the Gautrain Hatfield station in Pretoria was opened and marked the second phase of the Gautrain.  At this stage, a total of nine stations operated along 76km of route alignment.  A total of ten stations became operational as of 07 June 2012 when the route from Gautrain Rosebank station to Gautrain Park station was opened.  This extended the Gautrain service to operate along 80 kilometres of route alignment.</t>
  </si>
  <si>
    <t xml:space="preserve">In addition to rail, Gautrain includes the bus-based Dedicated Feeder and Distribution Services (DFDS) to transport Gautrain passengers to the Gautrain stations along key Gautrain feeder corridors and routes.  The DFDS scomprises of a fleet of modern low-entrance and low-emission buses  The DFDS serves to complement urban Bus Rapid Transit Systems (BRT) BRT and other municipal based public transport services. </t>
  </si>
  <si>
    <t>High speed trains</t>
  </si>
  <si>
    <t>NAMA0169</t>
  </si>
  <si>
    <t>NS-309</t>
  </si>
  <si>
    <t>Reduction of greenhouse gases emission through the sustainable forest landscapes management by vulnerable rural producers in Guatemala</t>
  </si>
  <si>
    <t>Instituto Nacional de Bosques (INAB)</t>
  </si>
  <si>
    <t>Capacity building both at the institutional level and with small producers; the incorporation of business models and financing mechanisms that guarantee long-term economic sustainability for producers engaged in sustainable forest production. Also incorporation of carbon monitoring instruments to verify the progress made.</t>
  </si>
  <si>
    <t>Addressing the barriers to encourage small producers in the country to manage forest in a sustainable manner, as well as to support the continuity and the strengthening of the national programs already established such as Programa de Incentivos Forestales (PINFOR) and Programa de Incentivos Forestales para Poseedores de Pequeñas Extensiones de Tierra de Vocación Forestal o Agroforestal (PINPEP).</t>
  </si>
  <si>
    <t>NAMA0170</t>
  </si>
  <si>
    <t>NR-310</t>
  </si>
  <si>
    <t>Reduction of CO2 Emissions in Building Commercial Bank</t>
  </si>
  <si>
    <t>Banco Popular Dominicano, S. A., Banco Multiple</t>
  </si>
  <si>
    <t>Banco Popular Dominicano has 54 offices and 26 parking areas roofed with solar panels, which allow it to produce 4.7 million kilowatts per hour (kWh) of clean energy, consolidating the financial organization as the first institution in the country with the largest capacity of solar energy generation.</t>
  </si>
  <si>
    <t>Currently there are 11,255 solar photovoltaic panels installed in this office’s network , which are distributed in 22 cities and are equivalent to 42% of the total number of Banco Popular offices.</t>
  </si>
  <si>
    <t>The solar energy production of these facilities is similar to the average monthly consumption of 9,445 households. In terms of decreasing the environmental footprint, the project means reducing 2.6 million kilograms of CO2 per year of polluting emissions.</t>
  </si>
  <si>
    <t>Commercial sector solar PVs</t>
  </si>
  <si>
    <t>NAMA0171</t>
  </si>
  <si>
    <t>NS-312</t>
  </si>
  <si>
    <t>NAMA Rail Bangladesh</t>
  </si>
  <si>
    <t>Bangladesh Railway</t>
  </si>
  <si>
    <t xml:space="preserve">The overall objective of the NAMA is to increase the role of railway in the transport sector of Bangladesh. This shall be realized through expansion of railway infrastructure and increased railway efficiency. </t>
  </si>
  <si>
    <t xml:space="preserve">The major sustainable development impact apart from GHG reductions are for the period 2017-2030 (cumulative) a reduction of 850t Particulate Matter, 20,000t NOx, more than 700 million litres of saved diesel and a reduction of 240 traffic accident fatalities. </t>
  </si>
  <si>
    <t xml:space="preserve">The focus is on inter-city passengers and long-haul freight along specific corridors as these are the areas where rail is considered to have a potential competitive advantage. The major cause of the GHG impact of the rail investment pro-gramme is towards mode-shift from high emitting transport means towards low emitting transport means. </t>
  </si>
  <si>
    <t>Improved railways</t>
  </si>
  <si>
    <t>Ecuador</t>
  </si>
  <si>
    <t>NAMA0172</t>
  </si>
  <si>
    <t>NAMA0173</t>
  </si>
  <si>
    <t>NAMA0174</t>
  </si>
  <si>
    <t>NAMA0175</t>
  </si>
  <si>
    <t>NAMA0176</t>
  </si>
  <si>
    <t>NAMA0177</t>
  </si>
  <si>
    <t>NS-252</t>
  </si>
  <si>
    <t>Petroamazonas EP</t>
  </si>
  <si>
    <t xml:space="preserve">This program involves the utilization of associated gas for electricity generation, as well as the use of hydro energy from the National grid (Sistema Nacional Interconectado in Spanish) which will be distributed to all production facilities through the Upgraded Oil Industry Electric Grid (SEIP-E for its acronym in Spanish). Currently, associated gas is considered a waste byproduct of crude oil extraction. </t>
  </si>
  <si>
    <t xml:space="preserve">Since 2008, the Ecuadorian state-owned oil company, Petroamazonas EP, has been developing the project Optimization of Power Generation and Energy Efficiency Program (OGE&amp;EE for its acronym in Spanish) for their oil production activities in the Ecuadorian Amazon region. By producing energy from associated gas and by utilizing clean energy from the national grid in petroleum production systems, the current use of diesel and crude oil to generate electricity will be replaced
</t>
  </si>
  <si>
    <t>Power</t>
  </si>
  <si>
    <t>Waste gas use</t>
  </si>
  <si>
    <t>Social benefits are related with energy supply in the surrounding communities (reliable power, fiber optic connection, noise mitigation, jobs creation).</t>
  </si>
  <si>
    <t>NS-313</t>
  </si>
  <si>
    <t>Securing Energy Efficiency in the Ecuadorian Residential and Public Sectors.</t>
  </si>
  <si>
    <t>Ministry of Electricity and Renewable Energy</t>
  </si>
  <si>
    <t xml:space="preserve">Strengthening of the value chain of the process of verification of the conformity through a demand for services and mandatory requirements, training and dissemination of the activities of implmentation of the new legislation on energy efficiency, support for the substitution and labelling. </t>
  </si>
  <si>
    <t>Residential &amp; public buildings</t>
  </si>
  <si>
    <t xml:space="preserve">To improve the capacities of all parties involved at the national level in relation to the concept, nature, and potential of energy efficiency in the residential and public sectors. This NAMA is one of the actions that will contribute to the achievement of the country's goal of reducing up to 25% of GHG emissions until 2030.
</t>
  </si>
  <si>
    <t>Economic; Conservation of energy sources through a demand for energy efficient.
Social; Direct or indirect increase in the availability of financial resources of the local population due to the reduction in energy bills, improvement the conditions of health and safety standards contribution to gender equality.
Environment; Air quality: reducing local air pollution, to the extent that disconnects the thermoelectric power generation, better conservation of natural resources.
waste: Proper management of solid waste.</t>
  </si>
  <si>
    <t>NAMA of the Hydropower development in Ecuador NAMA-DCH (for its acronym in Spanish)</t>
  </si>
  <si>
    <t>NS-314</t>
  </si>
  <si>
    <t xml:space="preserve">Construction and operation of other hydroelectric power stations such as Paute Cardenillo and  Santiago G8 (currently no financial resources support) with a cost of 1,135 and 3,500 million dollars respectively. </t>
  </si>
  <si>
    <t>Displacing thermal generation in the National Interconnected System (SNI, for its acronym in Spanish) through hydropower development. The NAMA DCH considers the construction and operation of eight prioritized projects until 2017 which amount a total installed capacity of 2,832 MW.</t>
  </si>
  <si>
    <t>NAMA of the Efficient Cooking Program in Ecuador</t>
  </si>
  <si>
    <t>NS-315</t>
  </si>
  <si>
    <t>Since 2014, Ecuador has invested around MUSD 285.9</t>
  </si>
  <si>
    <t xml:space="preserve">The project intends to improve: (i) quality of life through the provision of electricity, and (ii) health with the replacement of LPG or other primary sources of energy by electricity and the use of efficient stoves </t>
  </si>
  <si>
    <t>ECP-NAMA is a mitigation action based on the component of cooking efficiency. This action is promoted by the Ecuadorian Government and coordinated by the Ministry of Electricity and Renewable Energy (MEER), whose objective is to make possible that approximately 3 million families replace LPG for cooking by electricity.</t>
  </si>
  <si>
    <t xml:space="preserve">Users with 220V busbars and a functioning internal installation will be able to acquire the induction kitchen in any commercial store and afterwards payment will be collected by the electricity companies through the electric bills. </t>
  </si>
  <si>
    <t>Electric cooking</t>
  </si>
  <si>
    <t>NS-318</t>
  </si>
  <si>
    <t>Implementation of Climate Change Mitigation Strategies in the Freight Transport Sector</t>
  </si>
  <si>
    <t xml:space="preserve">Environment Ministry of Ecuador (MAE) </t>
  </si>
  <si>
    <t xml:space="preserve">This NAMA aims to prepare and ensure a sustainable implementation of climate change mitigation actions in the Freight sub-area of the transportation sector at a national scale. The preparation will ensure economic, institutional, social and environmental sustainability of the whole project. </t>
  </si>
  <si>
    <t>The NAMA development process will generate a specific tool  to allow concerned authorities to arbitrate the right decisions to reach Climate Change Mitigation in the Freight Transportation sub-area in matter of mitigation strategies, Monitoring Reporting and Validation (MRV) Plan and funding strategy</t>
  </si>
  <si>
    <t>NS-319</t>
  </si>
  <si>
    <t>Implementation of Climate Change Mitigation Strategies in the Passenger Transport Sector</t>
  </si>
  <si>
    <t>Passenger transport</t>
  </si>
  <si>
    <t>This NAMA aims to prepare and ensure a sustainable implementation of climate change mitigation actions in the Passenger sub-area of the transportation sector. The NAMA will focus on three pilot cities: Quito, Guayaquil and Cuenca and later evaluate the sustainability of spreading its implementation to a national scale.</t>
  </si>
  <si>
    <t xml:space="preserve">The NAMA development process will generate a specific tool  to allow concerned authorities to arbitrate the right decisions to reach Climate Change Mitigation in the Passenger Transportation sub-area in matter of mitigation strategies, Monitoring Reporting and Validation (MRV) Plan and funding strategy. </t>
  </si>
  <si>
    <t>Environemental co-benefits: Better air quality, natural resources protection, biodiversity protection, noise reduction, land cover/use, better energy management.
Social co-benefits: Public health, quality of life, traffic reliability and safety, access to an affordable and sustainable mobility, social cohesion and mobility equality, passengers comfort, urban-rural conectivity, traffic fluidity improvement.
Economical co-benefits: Traveling time saving, traveling cost related savings, system reliability, public incomes, tickets pricing, jobs creation, better energy safety, public health related savings.
Other co-benefits: Better institutional context and infrastructural conditions, better resilience and adaptation to climate change</t>
  </si>
  <si>
    <t>Optimization of Power Generation and Energy Efficiency Program (OGE&amp;EE for its acronym in Spanish)</t>
  </si>
  <si>
    <t>NAMA0178</t>
  </si>
  <si>
    <t>Subnational mitigation actions for the regeneration of landscapes</t>
  </si>
  <si>
    <t xml:space="preserve">This NAMA promotes the establishment of state funding mechanisms and the replication of successful pilot project mitigation actions of planned grazing and forest regeneration to contribute to the mitigation and adaptation goals of the Nationally Determined Contribution (NDC) of Mexico under the Paris Agreement. </t>
  </si>
  <si>
    <t xml:space="preserve">The implementation of the planned grazing NAMA component was successfully begun as pilot projects and early action activities  on approximately 224,455 hectares in the states of Querétaro, San Luis Potosí, Guanajuato, Nuevo León, Chihuahua and Sonora and is being promoted for replication in additional states. Forest generation has been implemented for several years in oak forests of the Sierra Gorda Biosphere Reserve of Querétaro as the “Biodiversity Carbon” project implemented by GESG in coordination with Bosque Sustentable A.C. </t>
  </si>
  <si>
    <t>Planned grazing: This  part is projected to regenerate approximately 1.1 million hectares and reach an annual mitigation of 2.9 MtCO2e in the year 2030, which represents 52% of the theoretical potential. The forest generation mitigation action will be expanded to new areas and other forest types in the Sierra Gorda and replicated in other states. It will reduced 0.694 MtCO2/yr</t>
  </si>
  <si>
    <t>NAMA0179</t>
  </si>
  <si>
    <t>NS-325</t>
  </si>
  <si>
    <t>Samoa Transport Sector NAMA</t>
  </si>
  <si>
    <t>Renewable Energy Division, Ministry of Natural Resources and Environment</t>
  </si>
  <si>
    <t>The NAMA will reduce direct GHG emissions by replacing the fossil fuel with bio-diesel and introducing electric vehicles (Cars, Mini-buses and buses) in the country</t>
  </si>
  <si>
    <t xml:space="preserve"> 1) Scaling-up bio-diesel use in diesel vehicles; the proposed NAMA intervention 1 will trial using biodiesel in 25 large trucks, 25 vans and 25 small trucks owned by government and private owners in Samoa. 2) 100 electric cars will be operated and trialled as taxis as a pilot phase. 3) 10 electric buses (2 Large and 8 Mini buses) will be trialled in Samoa for public transport.</t>
  </si>
  <si>
    <t>NAMA0180</t>
  </si>
  <si>
    <t>NS-326</t>
  </si>
  <si>
    <t>Promoting Up-scaled Use of Energy efficient Air-Conditioning (ACs) and Solar Water Heating Systems (SWHs) in Residential and Commercial Buildings in Viet Nam</t>
  </si>
  <si>
    <t>Ministry of Natural Resources and Environment of Viet Nam</t>
  </si>
  <si>
    <t>The NAMA aims to focus on three mitigation actions: (i) conversion to high efficient ACs; (ii) installation of SWHs; and (iii) recovery and destruction of refrigerants of high GWP in ACs.</t>
  </si>
  <si>
    <t>The NAMA is scheduled to be implemented in three phrases: (i) preparation (2018); (ii) pilot implementation (2019-2020); and full scale implementation (2021-2030). The NAMA includes establishment and operation of a system for recovery and thermal destruction of high GWP refrigerants for the first time in Viet Nam.</t>
  </si>
  <si>
    <t>A report titled "DEVELOPMENT OF A FULL-SCALE NAMA FOR THE BUILDING SECTOR" from UNEPs Sustainable Buildings and Climate Initiative" is attache to the NAMA.</t>
  </si>
  <si>
    <t>EE Aircon and solar heating</t>
  </si>
  <si>
    <t>S-321</t>
  </si>
  <si>
    <t>Support0019</t>
  </si>
  <si>
    <t xml:space="preserve">Low-Carbon Olive Value Chain </t>
  </si>
  <si>
    <t>Palestine</t>
  </si>
  <si>
    <t>Mozambique – Sustainable Waste Management – Laying the Foundations for a Circular Economy</t>
  </si>
  <si>
    <t>Morocco – Improving Energy Performance of Moroccan Households</t>
  </si>
  <si>
    <t>Madagascar – Northern Madagascar REDD+ Project</t>
  </si>
  <si>
    <t>Jordan – Scaling Up Renewable Energy Financing Facility</t>
  </si>
  <si>
    <t>India – Waste Solutions for a Circular Economy</t>
  </si>
  <si>
    <t>Honduras – Transforming the Honduran Livestock Sector into a Low-Carbon Economy</t>
  </si>
  <si>
    <t>Guatemala – Efficient Use of Fuel and Alternative Fuels in Indigenous and Rural Communities</t>
  </si>
  <si>
    <t>Chile Self‐supply renewable energy systems (SSRE) NMA</t>
  </si>
  <si>
    <t>Cabo Verde – Promotion of Electric Mobility</t>
  </si>
  <si>
    <t xml:space="preserve">Brazil – Transformative Investments for Industrial Energy Efficiency (TI4E) </t>
  </si>
  <si>
    <t>NAMA0181</t>
  </si>
  <si>
    <t>NAMA0182</t>
  </si>
  <si>
    <t>NS-329</t>
  </si>
  <si>
    <t>Climate-Smart: A New Pathway to Low-Carbon and More-Resilient Development for Small Cocoa Farmers in the Context to Dominican Republic’s Nationally Determined Contribution</t>
  </si>
  <si>
    <t>Dominican Institute for Integrated Development -IDDI</t>
  </si>
  <si>
    <t xml:space="preserve">The project seeks to reduce significant GHG emissions from cocoa value chain through the promotion of appropriate climate-smart production approaches, including technological development, crop intensification, and yield enhancement, and to increase the economic and ecosystem value for farmers. </t>
  </si>
  <si>
    <t xml:space="preserve">Incorporaton of shade trees in cocoa systems, developing biomass-energy products, diversifying the production, reaching new markets, and implementing innovative financial mechanisms, aiming to build climate-resilience for the sector, secure rural livelihoods, contributing with country’s mitigation compromises and to support the national development targets. </t>
  </si>
  <si>
    <t>Climate smart cocoa prduction</t>
  </si>
  <si>
    <t>NAMA in Cement/Co-Processing and Waste Sector</t>
  </si>
  <si>
    <t>NS-330</t>
  </si>
  <si>
    <t>as NAMA0182</t>
  </si>
  <si>
    <t>NAMA0183</t>
  </si>
  <si>
    <t>NS-332</t>
  </si>
  <si>
    <t>Green School NAMA</t>
  </si>
  <si>
    <t>NAMA0184</t>
  </si>
  <si>
    <t>Promotion of efficient and low carbon forestry and agroforestry value chains in Guatemala</t>
  </si>
  <si>
    <t>NS-333</t>
  </si>
  <si>
    <t/>
  </si>
  <si>
    <t>National Forest Institute (INAB)</t>
  </si>
  <si>
    <t xml:space="preserve">Renewable Energy Division </t>
  </si>
  <si>
    <t>The action focuses on the country’s Education sector and specifically cover renewable energy and energy efficiency solutions and technologies in school buildings.</t>
  </si>
  <si>
    <t xml:space="preserve">Reduction of energy consumption of 20% by 2025 (this is based on the 20% target for the public sector.
Reduction of GHG emissions of 35% by 2025 (overshooting the target of 16% by 2025 defined in the NDC). </t>
  </si>
  <si>
    <t>School building</t>
  </si>
  <si>
    <t xml:space="preserve">The main objective of the NSP proposal is the reduction of GHG emissions with a total of 1,764,699 tCO2e/a during the NSP implementation. 
</t>
  </si>
  <si>
    <t xml:space="preserve">With the support of the NSP, low carbon agroforestry practices will allow an increase in carbon stocks through biomass growth in trees and, crops, as well as in the soil. Added benefits include diversity of livelihoods and building exemplary low carbon and resilient value chains and communities. </t>
  </si>
  <si>
    <r>
      <t xml:space="preserve">Financial and technical support to NAMAs across a range of sectors, focusing on the mobilization of capital investments for </t>
    </r>
    <r>
      <rPr>
        <b/>
        <sz val="10"/>
        <rFont val="Arial"/>
        <family val="2"/>
      </rPr>
      <t>transformational change. The NAMA Facility foresees an overall support volume of € 5-20 million per NAMA Support Project.</t>
    </r>
  </si>
  <si>
    <t>NAMA0185</t>
  </si>
  <si>
    <t>Off-grid Renewable Energy Solutions in Rural Suriname</t>
  </si>
  <si>
    <t>Suriname</t>
  </si>
  <si>
    <t>NS-336</t>
  </si>
  <si>
    <t>Ministry of Natural Resources. Ministry of Spatial Planning and Environment Ministry of Regional Planning.</t>
  </si>
  <si>
    <t>The intervention comprises of four ground mounted solar plants connected to the existing mini grids. Thus creating a hybrid system based on diesel-solar serving facilities such as schools, medical centers and churches. In addition, solar shops will be established on small islands with no facilities and very small communities, providing household energy access services (phone charging, battery charging and swapping, portable light charging) and information and communication services (internet, printing, TV, phone, banking).</t>
  </si>
  <si>
    <t>Establishing renewable energy electrification solutions in the interior, enabling income-generating activities and thus leading to sustainable development in rural Suriname. This includes a Rural Electrification Fund. The hybrid mini-grids will provide electricity for lightning, cooling (fridge), phone charging, and TV/ radio as well as for services and production activities in the Rural Productive Zone (RPZ).</t>
  </si>
  <si>
    <t>Monitoring Indicators for NAMA impact are:
Installed Capacity for each hybrid mini grid system
Proxy RE technology
Annual electricity production from each plant
Annual GHG saving- avoidance
Number of public buildings electrified
Number of households electrified
Number of people with access to RE electricity
Number of educational institutions electrified
Number of new income/generating activities (enterprises)
Number of new jobs (total)
Number of new jobs for women</t>
  </si>
  <si>
    <t>Monitored SD parameters are:
Number of households with access to RE
Number of health clinics electrified
Number of schools electrified
Number of new jobs for women
Share of household income spent on electricity
Number of new jobs per household
Number of capacity development workshops and awareness raising campaigns
National Coordinating Authority (NCA) organisation structure
Overall operation management system NCA
NAMA Implementing Entity (NIE) operation management system
NAMA executing entities (NEE) operation management system</t>
  </si>
  <si>
    <t>NAMA0186</t>
  </si>
  <si>
    <t>NR-338</t>
  </si>
  <si>
    <t>Rice production NAMA</t>
  </si>
  <si>
    <t>CH4 reduction</t>
  </si>
  <si>
    <t xml:space="preserve">The proposed objectives include: 
Reduce CH4 emissions through the most appropriate practices of water management in rice production.
Introduce rice varieties with less water dependency.
Reduce N2O emissions by nitrogen use efficiency seeds that require fewer fertilizers. 
Optimizing nitrogen fertilizers use through the most appropriate farmer techniques for the crops, soil, and environmental conditions. 
Promote associativity with incentives and financial support to rice farmers associations to implement mitigation actions coming from this program.
Monitoring of crops to optimize the application of pesticides. </t>
  </si>
  <si>
    <t>Ministry of Agricultural Development of Panama</t>
  </si>
  <si>
    <t>The creation of a monitoring and evaluation system is intended to measure periodic progress</t>
  </si>
  <si>
    <t xml:space="preserve">Under the initiative of the Ministry of Agricultural Development, together with the Interamerican Institute of Cooperation on Agriculture (IICA) and the financial support of EUROCLIMA+, the rice production NAMA has been developed for the Republic of Panama. The title of this project is “Support for the formulation of appropriate mitigation actions on Central American agriculture”. Approximately, of the 96,000 ha devoted to rice production, 59,000 ha are produced by the mechanized system and 37,000 ha by the traditional and rudimentary system “a chuzo”. </t>
  </si>
  <si>
    <t>NAMA0187</t>
  </si>
  <si>
    <t>NAMA0188</t>
  </si>
  <si>
    <t>NR-335</t>
  </si>
  <si>
    <t xml:space="preserve">Ministry of Transport - Viceministry of Transport </t>
  </si>
  <si>
    <t xml:space="preserve">The Nationally Appropriate Mitigation Action (NAMA) proposed in this document involves a freight logistics policy, a freight improvement program and freight vehicle scrappage and fleet renewal </t>
  </si>
  <si>
    <t>Ethiopian NAMA: Creating Opportunities for Municipalities to Pro-duce and Operationalise Solid Waste Transformation (COMPOST)</t>
  </si>
  <si>
    <t>NR-339</t>
  </si>
  <si>
    <t xml:space="preserve">Ministry of Urban Development and Construction </t>
  </si>
  <si>
    <t>Solid waste</t>
  </si>
  <si>
    <t>The Ethiopian NAMA COMPOST project is designed to promote greater use of Integrated Solid Waste Management (ISWM) and Urban Green Infrastructure (UGI) approaches in Ethiopian cities and towns that is assisting the Government of Ethiopia in achieving the objectives of its Growth and Transformation Plan (GTP II).</t>
  </si>
  <si>
    <t>The project has four outcomes: i) strengthening the regulatory and legal framework and institutional coordination mechanisms to integrate ISWM and UGI within urban systems; ii) a developed market-based system with micro and small enterprises (MSEs) that are supported professionally to ensure financial sustainability of compost production and utilization; iii) implementation of a Nationally Appropriate Mitigation Action (NAMA) that transforms the capacity of integrated urban systems to generate large emission reductions; iv) operationalized urban systems that integrate ISWM and UGI, with quantified GHG emission reductions, within a NAMA framework.</t>
  </si>
  <si>
    <t>22-10-2012 resubmitted      20-12-2021</t>
  </si>
  <si>
    <t>Climate Change and Sustainability Agency</t>
  </si>
  <si>
    <t>NAMA0189</t>
  </si>
  <si>
    <t>NAMA0190</t>
  </si>
  <si>
    <t>NS-343</t>
  </si>
  <si>
    <t>Costa Rica Rice NAMA</t>
  </si>
  <si>
    <t>(i) changes in water regimes; (ii) fertilization practices that reduce emissions; and (iii) use of adapted rice varieties.</t>
  </si>
  <si>
    <t>Three key measures with the greatest potential for reducing emissions were selected</t>
  </si>
  <si>
    <t>Ministerio de Agricultura y Ganadería (MAG) / Ministerio de Ambiente y Energía (Minae)</t>
  </si>
  <si>
    <t>Costa Rica Musaceae NAMA.</t>
  </si>
  <si>
    <t>NS-342</t>
  </si>
  <si>
    <t xml:space="preserve">i) maintain or increase the level of carbon dioxide removal through forest plantations; (ii) reduce carbon dioxide emissions generated by aircraft during aerial spraying in Sigatoka control; </t>
  </si>
  <si>
    <t>(iii) reduce nitrous oxide emissions generated by the application of nitrogen in the fertilization process and reduce carbon dioxide (CO2) emissions generated by the application of calcium carbonate and dolomite lime in the soil nutrition; (iv) reduce the consumption of electricity that comes from the electrical network and from the transport of fruit in the port.</t>
  </si>
  <si>
    <t>GHG emissions</t>
  </si>
  <si>
    <t>Musaceae banana crops</t>
  </si>
  <si>
    <t>The NAMApipeline was produced by Jørgen Fenhann, UNEP Copenhagen Climate Centre, 1.October 2022, jorgen.fenhann@un.org, Phone (+45)40202789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</si>
</sst>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_);_(* \(#,##0.00\);_(* &quot;-&quot;??_);_(@_)"/>
    <numFmt numFmtId="165" formatCode="[$-409]dd/mmm/yy;@"/>
    <numFmt numFmtId="166" formatCode="[$-409]dd\-mmm\-yy;@"/>
    <numFmt numFmtId="167" formatCode="0.000"/>
    <numFmt numFmtId="168" formatCode="0.0"/>
    <numFmt numFmtId="169" formatCode="0.00000"/>
    <numFmt numFmtId="170" formatCode="0.0000"/>
  </numFmts>
  <fonts count="29" x14ac:knownFonts="1">
    <font>
      <sz val="10"/>
      <name val="Arial"/>
    </font>
    <font>
      <sz val="11"/>
      <color theme="1"/>
      <name val="Calibri"/>
      <family val="2"/>
      <scheme val="minor"/>
    </font>
    <font>
      <sz val="10"/>
      <name val="Arial"/>
      <family val="2"/>
    </font>
    <font>
      <b/>
      <sz val="10"/>
      <name val="Arial"/>
      <family val="2"/>
    </font>
    <font>
      <sz val="8"/>
      <color indexed="81"/>
      <name val="Tahoma"/>
      <family val="2"/>
    </font>
    <font>
      <b/>
      <sz val="10"/>
      <color indexed="81"/>
      <name val="Tahoma"/>
      <family val="2"/>
    </font>
    <font>
      <sz val="9"/>
      <name val="Arial"/>
      <family val="2"/>
    </font>
    <font>
      <b/>
      <sz val="8"/>
      <color indexed="81"/>
      <name val="Tahoma"/>
      <family val="2"/>
    </font>
    <font>
      <u/>
      <sz val="8.5"/>
      <color theme="10"/>
      <name val="Arial"/>
      <family val="2"/>
    </font>
    <font>
      <u/>
      <sz val="10"/>
      <color theme="10"/>
      <name val="Arial"/>
      <family val="2"/>
    </font>
    <font>
      <sz val="9"/>
      <color indexed="81"/>
      <name val="Tahoma"/>
      <family val="2"/>
    </font>
    <font>
      <b/>
      <sz val="9"/>
      <color indexed="81"/>
      <name val="Tahoma"/>
      <family val="2"/>
    </font>
    <font>
      <u/>
      <sz val="12"/>
      <color theme="10"/>
      <name val="Arial"/>
      <family val="2"/>
    </font>
    <font>
      <sz val="8"/>
      <name val="Arial"/>
      <family val="2"/>
    </font>
    <font>
      <u/>
      <sz val="10"/>
      <color rgb="FF0000FF"/>
      <name val="Arial"/>
      <family val="2"/>
    </font>
    <font>
      <sz val="9"/>
      <name val="Franklin Gothic Book"/>
      <family val="2"/>
    </font>
    <font>
      <sz val="10"/>
      <name val="Franklin Gothic Book"/>
      <family val="2"/>
    </font>
    <font>
      <sz val="10"/>
      <name val="Tahoma"/>
      <family val="2"/>
    </font>
    <font>
      <vertAlign val="subscript"/>
      <sz val="10"/>
      <name val="Arial"/>
      <family val="2"/>
    </font>
    <font>
      <sz val="10"/>
      <name val="Trebuchet MS"/>
      <family val="2"/>
    </font>
    <font>
      <b/>
      <sz val="8"/>
      <name val="Calibri"/>
      <family val="2"/>
      <scheme val="minor"/>
    </font>
    <font>
      <b/>
      <sz val="8"/>
      <color theme="1"/>
      <name val="Calibri"/>
      <family val="2"/>
      <scheme val="minor"/>
    </font>
    <font>
      <b/>
      <i/>
      <sz val="8"/>
      <name val="Calibri"/>
      <family val="2"/>
      <scheme val="minor"/>
    </font>
    <font>
      <sz val="8"/>
      <name val="Calibri"/>
      <family val="2"/>
      <scheme val="minor"/>
    </font>
    <font>
      <sz val="8"/>
      <color theme="1"/>
      <name val="Calibri"/>
      <family val="2"/>
      <scheme val="minor"/>
    </font>
    <font>
      <i/>
      <sz val="8"/>
      <name val="Calibri"/>
      <family val="2"/>
      <scheme val="minor"/>
    </font>
    <font>
      <vertAlign val="subscript"/>
      <sz val="8"/>
      <name val="Calibri"/>
      <family val="2"/>
      <scheme val="minor"/>
    </font>
    <font>
      <sz val="11"/>
      <name val="Times New Roman"/>
      <family val="1"/>
    </font>
    <font>
      <sz val="8"/>
      <name val="Arial"/>
    </font>
  </fonts>
  <fills count="10">
    <fill>
      <patternFill patternType="none"/>
    </fill>
    <fill>
      <patternFill patternType="gray125"/>
    </fill>
    <fill>
      <patternFill patternType="solid">
        <fgColor theme="0"/>
        <bgColor indexed="64"/>
      </patternFill>
    </fill>
    <fill>
      <patternFill patternType="solid">
        <fgColor indexed="26"/>
      </patternFill>
    </fill>
    <fill>
      <patternFill patternType="solid">
        <fgColor theme="0" tint="-0.14999847407452621"/>
        <bgColor indexed="64"/>
      </patternFill>
    </fill>
    <fill>
      <patternFill patternType="solid">
        <fgColor indexed="51"/>
        <bgColor indexed="64"/>
      </patternFill>
    </fill>
    <fill>
      <patternFill patternType="solid">
        <fgColor rgb="FFFFC000"/>
        <bgColor indexed="64"/>
      </patternFill>
    </fill>
    <fill>
      <patternFill patternType="solid">
        <fgColor rgb="FFB4C22C"/>
        <bgColor indexed="64"/>
      </patternFill>
    </fill>
    <fill>
      <patternFill patternType="solid">
        <fgColor rgb="FFFFFF00"/>
        <bgColor indexed="64"/>
      </patternFill>
    </fill>
    <fill>
      <patternFill patternType="solid">
        <fgColor rgb="FFFF0000"/>
        <bgColor indexed="64"/>
      </patternFill>
    </fill>
  </fills>
  <borders count="34">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22"/>
      </left>
      <right style="thin">
        <color indexed="22"/>
      </right>
      <top style="thin">
        <color indexed="22"/>
      </top>
      <bottom style="thin">
        <color indexed="22"/>
      </bottom>
      <diagonal/>
    </border>
    <border>
      <left/>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bottom style="medium">
        <color indexed="64"/>
      </bottom>
      <diagonal/>
    </border>
    <border>
      <left/>
      <right/>
      <top style="medium">
        <color indexed="64"/>
      </top>
      <bottom/>
      <diagonal/>
    </border>
    <border>
      <left style="medium">
        <color indexed="64"/>
      </left>
      <right style="medium">
        <color indexed="64"/>
      </right>
      <top style="thin">
        <color indexed="64"/>
      </top>
      <bottom/>
      <diagonal/>
    </border>
    <border>
      <left/>
      <right style="medium">
        <color indexed="64"/>
      </right>
      <top style="thin">
        <color indexed="64"/>
      </top>
      <bottom style="medium">
        <color indexed="64"/>
      </bottom>
      <diagonal/>
    </border>
  </borders>
  <cellStyleXfs count="12">
    <xf numFmtId="166" fontId="0" fillId="0" borderId="0"/>
    <xf numFmtId="165" fontId="2" fillId="0" borderId="0"/>
    <xf numFmtId="164" fontId="2" fillId="0" borderId="0" applyFont="0" applyFill="0" applyBorder="0" applyAlignment="0" applyProtection="0"/>
    <xf numFmtId="166" fontId="2" fillId="3" borderId="10" applyNumberFormat="0" applyFont="0" applyAlignment="0" applyProtection="0"/>
    <xf numFmtId="9" fontId="2" fillId="0" borderId="0" applyFont="0" applyFill="0" applyBorder="0" applyAlignment="0" applyProtection="0"/>
    <xf numFmtId="165" fontId="2" fillId="0" borderId="0"/>
    <xf numFmtId="0" fontId="8" fillId="0" borderId="0" applyNumberFormat="0" applyFill="0" applyBorder="0" applyAlignment="0" applyProtection="0">
      <alignment vertical="top"/>
      <protection locked="0"/>
    </xf>
    <xf numFmtId="165" fontId="1" fillId="0" borderId="0"/>
    <xf numFmtId="166" fontId="2" fillId="0" borderId="0"/>
    <xf numFmtId="166" fontId="2" fillId="0" borderId="0"/>
    <xf numFmtId="166" fontId="2" fillId="0" borderId="0"/>
    <xf numFmtId="166" fontId="2" fillId="0" borderId="0"/>
  </cellStyleXfs>
  <cellXfs count="552">
    <xf numFmtId="166" fontId="0" fillId="0" borderId="0" xfId="0"/>
    <xf numFmtId="166" fontId="2" fillId="0" borderId="0" xfId="1" applyNumberFormat="1"/>
    <xf numFmtId="166" fontId="3" fillId="0" borderId="0" xfId="1" applyNumberFormat="1" applyFont="1" applyAlignment="1">
      <alignment horizontal="right" vertical="center" wrapText="1"/>
    </xf>
    <xf numFmtId="166" fontId="2" fillId="0" borderId="0" xfId="1" applyNumberFormat="1" applyAlignment="1">
      <alignment horizontal="center" vertical="center" wrapText="1"/>
    </xf>
    <xf numFmtId="167" fontId="2" fillId="0" borderId="0" xfId="1" applyNumberFormat="1" applyAlignment="1">
      <alignment horizontal="center" vertical="center" wrapText="1"/>
    </xf>
    <xf numFmtId="166" fontId="2" fillId="0" borderId="0" xfId="1" applyNumberFormat="1" applyAlignment="1">
      <alignment horizontal="center" vertical="top" wrapText="1"/>
    </xf>
    <xf numFmtId="166" fontId="2" fillId="0" borderId="0" xfId="1" applyNumberFormat="1" applyAlignment="1">
      <alignment vertical="top" wrapText="1"/>
    </xf>
    <xf numFmtId="15" fontId="2" fillId="0" borderId="0" xfId="1" applyNumberFormat="1" applyAlignment="1">
      <alignment horizontal="center" vertical="top"/>
    </xf>
    <xf numFmtId="14" fontId="2" fillId="0" borderId="0" xfId="1" applyNumberFormat="1" applyAlignment="1">
      <alignment horizontal="right" vertical="top" wrapText="1"/>
    </xf>
    <xf numFmtId="2" fontId="2" fillId="0" borderId="0" xfId="1" applyNumberFormat="1" applyAlignment="1">
      <alignment horizontal="right" vertical="top" wrapText="1"/>
    </xf>
    <xf numFmtId="166" fontId="2" fillId="0" borderId="0" xfId="1" applyNumberFormat="1" applyAlignment="1">
      <alignment horizontal="left" vertical="top"/>
    </xf>
    <xf numFmtId="166" fontId="2" fillId="0" borderId="0" xfId="1" applyNumberFormat="1" applyAlignment="1">
      <alignment horizontal="left" vertical="top" wrapText="1"/>
    </xf>
    <xf numFmtId="166" fontId="2" fillId="0" borderId="2" xfId="1" applyNumberFormat="1" applyBorder="1" applyAlignment="1">
      <alignment horizontal="center"/>
    </xf>
    <xf numFmtId="166" fontId="2" fillId="0" borderId="3" xfId="1" applyNumberFormat="1" applyBorder="1" applyAlignment="1">
      <alignment horizontal="center"/>
    </xf>
    <xf numFmtId="166" fontId="2" fillId="0" borderId="3" xfId="1" applyNumberFormat="1" applyBorder="1" applyAlignment="1">
      <alignment horizontal="center" wrapText="1"/>
    </xf>
    <xf numFmtId="166" fontId="2" fillId="0" borderId="3" xfId="1" applyNumberFormat="1" applyFill="1" applyBorder="1" applyAlignment="1">
      <alignment horizontal="center" wrapText="1"/>
    </xf>
    <xf numFmtId="0" fontId="2" fillId="0" borderId="3" xfId="1" applyNumberFormat="1" applyBorder="1" applyAlignment="1">
      <alignment horizontal="center" wrapText="1"/>
    </xf>
    <xf numFmtId="14" fontId="2" fillId="0" borderId="3" xfId="1" applyNumberFormat="1" applyFill="1" applyBorder="1" applyAlignment="1">
      <alignment horizontal="center" wrapText="1"/>
    </xf>
    <xf numFmtId="1" fontId="2" fillId="0" borderId="3" xfId="1" applyNumberFormat="1" applyFill="1" applyBorder="1" applyAlignment="1">
      <alignment horizontal="center" wrapText="1"/>
    </xf>
    <xf numFmtId="2" fontId="2" fillId="0" borderId="1" xfId="1" applyNumberFormat="1" applyFill="1" applyBorder="1" applyAlignment="1">
      <alignment horizontal="center" wrapText="1"/>
    </xf>
    <xf numFmtId="166" fontId="2" fillId="0" borderId="5" xfId="1" applyNumberFormat="1" applyBorder="1" applyAlignment="1">
      <alignment vertical="top" wrapText="1"/>
    </xf>
    <xf numFmtId="166" fontId="2" fillId="2" borderId="5" xfId="1" applyNumberFormat="1" applyFill="1" applyBorder="1" applyAlignment="1">
      <alignment vertical="top" wrapText="1"/>
    </xf>
    <xf numFmtId="166" fontId="2" fillId="2" borderId="5" xfId="1" applyNumberFormat="1" applyFill="1" applyBorder="1" applyAlignment="1">
      <alignment horizontal="center" vertical="top" wrapText="1"/>
    </xf>
    <xf numFmtId="166" fontId="2" fillId="2" borderId="5" xfId="1" applyNumberFormat="1" applyFont="1" applyFill="1" applyBorder="1" applyAlignment="1">
      <alignment vertical="top" wrapText="1"/>
    </xf>
    <xf numFmtId="166" fontId="2" fillId="2" borderId="5" xfId="1" applyNumberFormat="1" applyFont="1" applyFill="1" applyBorder="1" applyAlignment="1">
      <alignment horizontal="left" vertical="top" wrapText="1"/>
    </xf>
    <xf numFmtId="168" fontId="2" fillId="2" borderId="5" xfId="1" applyNumberFormat="1" applyFont="1" applyFill="1" applyBorder="1" applyAlignment="1">
      <alignment horizontal="right" vertical="top" wrapText="1"/>
    </xf>
    <xf numFmtId="166" fontId="2" fillId="2" borderId="0" xfId="1" applyNumberFormat="1" applyFont="1" applyFill="1" applyBorder="1" applyAlignment="1">
      <alignment horizontal="left" vertical="top" wrapText="1"/>
    </xf>
    <xf numFmtId="15" fontId="2" fillId="2" borderId="5" xfId="1" applyNumberFormat="1" applyFont="1" applyFill="1" applyBorder="1" applyAlignment="1">
      <alignment horizontal="center" vertical="top" wrapText="1"/>
    </xf>
    <xf numFmtId="166" fontId="2" fillId="2" borderId="5" xfId="1" applyNumberFormat="1" applyFont="1" applyFill="1" applyBorder="1" applyAlignment="1">
      <alignment horizontal="center" vertical="top" wrapText="1"/>
    </xf>
    <xf numFmtId="166" fontId="2" fillId="0" borderId="7" xfId="1" applyNumberFormat="1" applyFont="1" applyFill="1" applyBorder="1" applyAlignment="1">
      <alignment horizontal="left" vertical="top" wrapText="1"/>
    </xf>
    <xf numFmtId="166" fontId="2" fillId="0" borderId="9" xfId="1" applyNumberFormat="1" applyFont="1" applyFill="1" applyBorder="1" applyAlignment="1">
      <alignment horizontal="left" vertical="top" wrapText="1"/>
    </xf>
    <xf numFmtId="166" fontId="2" fillId="0" borderId="7" xfId="1" applyNumberFormat="1" applyFont="1" applyFill="1" applyBorder="1" applyAlignment="1">
      <alignment vertical="top" wrapText="1"/>
    </xf>
    <xf numFmtId="166" fontId="2" fillId="0" borderId="7" xfId="1" applyNumberFormat="1" applyFont="1" applyBorder="1" applyAlignment="1">
      <alignment horizontal="center" vertical="top" wrapText="1"/>
    </xf>
    <xf numFmtId="1" fontId="2" fillId="0" borderId="7" xfId="1" applyNumberFormat="1" applyFont="1" applyFill="1" applyBorder="1" applyAlignment="1">
      <alignment vertical="top" wrapText="1"/>
    </xf>
    <xf numFmtId="15" fontId="2" fillId="0" borderId="7" xfId="1" applyNumberFormat="1" applyFont="1" applyBorder="1" applyAlignment="1">
      <alignment horizontal="center" vertical="top" wrapText="1"/>
    </xf>
    <xf numFmtId="168" fontId="2" fillId="0" borderId="7" xfId="1" applyNumberFormat="1" applyFont="1" applyBorder="1" applyAlignment="1">
      <alignment horizontal="right" vertical="top" wrapText="1"/>
    </xf>
    <xf numFmtId="166" fontId="2" fillId="2" borderId="2" xfId="1" applyNumberFormat="1" applyFill="1" applyBorder="1" applyAlignment="1">
      <alignment vertical="top" wrapText="1"/>
    </xf>
    <xf numFmtId="166" fontId="2" fillId="2" borderId="0" xfId="1" applyNumberFormat="1" applyFill="1" applyBorder="1" applyAlignment="1">
      <alignment horizontal="center" vertical="top" wrapText="1"/>
    </xf>
    <xf numFmtId="168" fontId="2" fillId="2" borderId="6" xfId="1" applyNumberFormat="1" applyFont="1" applyFill="1" applyBorder="1" applyAlignment="1">
      <alignment horizontal="right" vertical="top" wrapText="1"/>
    </xf>
    <xf numFmtId="166" fontId="2" fillId="2" borderId="2" xfId="1" applyNumberFormat="1" applyFont="1" applyFill="1" applyBorder="1" applyAlignment="1">
      <alignment horizontal="left" vertical="top" wrapText="1"/>
    </xf>
    <xf numFmtId="15" fontId="2" fillId="2" borderId="2" xfId="1" applyNumberFormat="1" applyFont="1" applyFill="1" applyBorder="1" applyAlignment="1">
      <alignment horizontal="center" vertical="top" wrapText="1"/>
    </xf>
    <xf numFmtId="15" fontId="2" fillId="2" borderId="6" xfId="1" applyNumberFormat="1" applyFont="1" applyFill="1" applyBorder="1" applyAlignment="1">
      <alignment horizontal="center" vertical="top" wrapText="1"/>
    </xf>
    <xf numFmtId="14" fontId="2" fillId="0" borderId="0" xfId="1" applyNumberFormat="1" applyAlignment="1">
      <alignment horizontal="center" vertical="top" wrapText="1"/>
    </xf>
    <xf numFmtId="166" fontId="2" fillId="2" borderId="2" xfId="1" applyNumberFormat="1" applyFill="1" applyBorder="1" applyAlignment="1">
      <alignment horizontal="center" vertical="top" wrapText="1"/>
    </xf>
    <xf numFmtId="166" fontId="2" fillId="2" borderId="3" xfId="1" applyNumberFormat="1" applyFill="1" applyBorder="1" applyAlignment="1">
      <alignment horizontal="center"/>
    </xf>
    <xf numFmtId="166" fontId="2" fillId="2" borderId="6" xfId="1" applyNumberFormat="1" applyFont="1" applyFill="1" applyBorder="1" applyAlignment="1">
      <alignment horizontal="center" vertical="top" wrapText="1"/>
    </xf>
    <xf numFmtId="15" fontId="2" fillId="2" borderId="1" xfId="1" applyNumberFormat="1" applyFill="1" applyBorder="1" applyAlignment="1">
      <alignment horizontal="center" wrapText="1"/>
    </xf>
    <xf numFmtId="14" fontId="2" fillId="0" borderId="1" xfId="1" applyNumberFormat="1" applyFill="1" applyBorder="1" applyAlignment="1">
      <alignment horizontal="center" wrapText="1"/>
    </xf>
    <xf numFmtId="166" fontId="2" fillId="0" borderId="8" xfId="1" applyNumberFormat="1" applyFont="1" applyBorder="1" applyAlignment="1">
      <alignment horizontal="center" vertical="top" wrapText="1"/>
    </xf>
    <xf numFmtId="166" fontId="2" fillId="2" borderId="7" xfId="1" applyNumberFormat="1" applyFont="1" applyFill="1" applyBorder="1" applyAlignment="1">
      <alignment vertical="top"/>
    </xf>
    <xf numFmtId="15" fontId="2" fillId="0" borderId="8" xfId="1" applyNumberFormat="1" applyFont="1" applyBorder="1" applyAlignment="1">
      <alignment horizontal="center" vertical="top" wrapText="1"/>
    </xf>
    <xf numFmtId="166" fontId="3" fillId="0" borderId="0" xfId="1" applyNumberFormat="1" applyFont="1" applyAlignment="1">
      <alignment horizontal="left" vertical="center"/>
    </xf>
    <xf numFmtId="166" fontId="2" fillId="0" borderId="0" xfId="1" applyNumberFormat="1" applyAlignment="1">
      <alignment horizontal="left"/>
    </xf>
    <xf numFmtId="1" fontId="3" fillId="0" borderId="0" xfId="1" applyNumberFormat="1" applyFont="1" applyAlignment="1">
      <alignment horizontal="left" vertical="center" wrapText="1"/>
    </xf>
    <xf numFmtId="166" fontId="2" fillId="0" borderId="5" xfId="0" applyFont="1" applyBorder="1" applyAlignment="1">
      <alignment horizontal="center" vertical="top" wrapText="1"/>
    </xf>
    <xf numFmtId="166" fontId="2" fillId="0" borderId="9" xfId="1" applyNumberFormat="1" applyFont="1" applyFill="1" applyBorder="1" applyAlignment="1">
      <alignment horizontal="center" vertical="top" wrapText="1"/>
    </xf>
    <xf numFmtId="166" fontId="2" fillId="2" borderId="0" xfId="1" applyNumberFormat="1" applyFill="1" applyBorder="1" applyAlignment="1">
      <alignment horizontal="left" vertical="top" wrapText="1"/>
    </xf>
    <xf numFmtId="166" fontId="6" fillId="0" borderId="0" xfId="0" applyFont="1"/>
    <xf numFmtId="168" fontId="2" fillId="2" borderId="5" xfId="1" applyNumberFormat="1" applyFont="1" applyFill="1" applyBorder="1" applyAlignment="1">
      <alignment vertical="top" wrapText="1"/>
    </xf>
    <xf numFmtId="168" fontId="2" fillId="0" borderId="7" xfId="1" applyNumberFormat="1" applyFont="1" applyFill="1" applyBorder="1" applyAlignment="1">
      <alignment vertical="top" wrapText="1"/>
    </xf>
    <xf numFmtId="168" fontId="2" fillId="0" borderId="7" xfId="1" applyNumberFormat="1" applyFont="1" applyBorder="1" applyAlignment="1">
      <alignment vertical="top" wrapText="1"/>
    </xf>
    <xf numFmtId="166" fontId="2" fillId="0" borderId="1" xfId="1" applyNumberFormat="1" applyFill="1" applyBorder="1" applyAlignment="1">
      <alignment horizontal="center" wrapText="1"/>
    </xf>
    <xf numFmtId="168" fontId="2" fillId="2" borderId="6" xfId="1" applyNumberFormat="1" applyFont="1" applyFill="1" applyBorder="1" applyAlignment="1">
      <alignment vertical="top" wrapText="1"/>
    </xf>
    <xf numFmtId="14" fontId="2" fillId="0" borderId="0" xfId="1" applyNumberFormat="1" applyAlignment="1">
      <alignment horizontal="center" vertical="top" wrapText="1"/>
    </xf>
    <xf numFmtId="166" fontId="2" fillId="0" borderId="1" xfId="1" applyNumberFormat="1" applyBorder="1" applyAlignment="1">
      <alignment horizontal="center" wrapText="1"/>
    </xf>
    <xf numFmtId="166" fontId="0" fillId="0" borderId="0" xfId="0" applyAlignment="1">
      <alignment vertical="top"/>
    </xf>
    <xf numFmtId="14" fontId="2" fillId="0" borderId="0" xfId="1" applyNumberFormat="1" applyAlignment="1">
      <alignment horizontal="center" vertical="top" wrapText="1"/>
    </xf>
    <xf numFmtId="17" fontId="2" fillId="2" borderId="6" xfId="1" applyNumberFormat="1" applyFont="1" applyFill="1" applyBorder="1" applyAlignment="1">
      <alignment horizontal="center" vertical="top" wrapText="1"/>
    </xf>
    <xf numFmtId="17" fontId="2" fillId="0" borderId="8" xfId="1" applyNumberFormat="1" applyFont="1" applyBorder="1" applyAlignment="1">
      <alignment horizontal="center" vertical="top" wrapText="1"/>
    </xf>
    <xf numFmtId="2" fontId="2" fillId="2" borderId="5" xfId="1" applyNumberFormat="1" applyFont="1" applyFill="1" applyBorder="1" applyAlignment="1">
      <alignment vertical="top" wrapText="1"/>
    </xf>
    <xf numFmtId="166" fontId="2" fillId="0" borderId="7" xfId="1" applyNumberFormat="1" applyFont="1" applyFill="1" applyBorder="1" applyAlignment="1">
      <alignment horizontal="center" vertical="top" wrapText="1"/>
    </xf>
    <xf numFmtId="166" fontId="0" fillId="0" borderId="0" xfId="0" applyAlignment="1">
      <alignment horizontal="center"/>
    </xf>
    <xf numFmtId="2" fontId="2" fillId="2" borderId="5" xfId="1" applyNumberFormat="1" applyFont="1" applyFill="1" applyBorder="1" applyAlignment="1">
      <alignment horizontal="right" vertical="top" wrapText="1"/>
    </xf>
    <xf numFmtId="0" fontId="2" fillId="0" borderId="0" xfId="1" applyNumberFormat="1" applyAlignment="1">
      <alignment horizontal="center" vertical="top" wrapText="1"/>
    </xf>
    <xf numFmtId="0" fontId="2" fillId="2" borderId="5" xfId="1" applyNumberFormat="1" applyFont="1" applyFill="1" applyBorder="1" applyAlignment="1">
      <alignment horizontal="center" vertical="top" wrapText="1"/>
    </xf>
    <xf numFmtId="0" fontId="2" fillId="0" borderId="7" xfId="1" applyNumberFormat="1" applyFont="1" applyFill="1" applyBorder="1" applyAlignment="1">
      <alignment horizontal="center" vertical="top" wrapText="1"/>
    </xf>
    <xf numFmtId="167" fontId="2" fillId="2" borderId="5" xfId="1" applyNumberFormat="1" applyFont="1" applyFill="1" applyBorder="1" applyAlignment="1">
      <alignment horizontal="right" vertical="top" wrapText="1"/>
    </xf>
    <xf numFmtId="1" fontId="2" fillId="4" borderId="5" xfId="1" applyNumberFormat="1" applyFont="1" applyFill="1" applyBorder="1" applyAlignment="1">
      <alignment vertical="top" wrapText="1"/>
    </xf>
    <xf numFmtId="168" fontId="2" fillId="4" borderId="5" xfId="1" applyNumberFormat="1" applyFont="1" applyFill="1" applyBorder="1" applyAlignment="1">
      <alignment vertical="top" wrapText="1"/>
    </xf>
    <xf numFmtId="168" fontId="2" fillId="0" borderId="7" xfId="1" applyNumberFormat="1" applyFont="1" applyFill="1" applyBorder="1" applyAlignment="1">
      <alignment horizontal="right" vertical="top" wrapText="1"/>
    </xf>
    <xf numFmtId="167" fontId="2" fillId="2" borderId="5" xfId="1" applyNumberFormat="1" applyFont="1" applyFill="1" applyBorder="1" applyAlignment="1">
      <alignment vertical="top" wrapText="1"/>
    </xf>
    <xf numFmtId="166" fontId="9" fillId="0" borderId="0" xfId="6" applyNumberFormat="1" applyFont="1" applyAlignment="1" applyProtection="1">
      <alignment horizontal="left" wrapText="1"/>
    </xf>
    <xf numFmtId="168" fontId="2" fillId="2" borderId="6" xfId="1" applyNumberFormat="1" applyFont="1" applyFill="1" applyBorder="1" applyAlignment="1">
      <alignment horizontal="center" vertical="top" wrapText="1"/>
    </xf>
    <xf numFmtId="168" fontId="2" fillId="0" borderId="8" xfId="1" applyNumberFormat="1" applyFont="1" applyBorder="1" applyAlignment="1">
      <alignment horizontal="center" vertical="top" wrapText="1"/>
    </xf>
    <xf numFmtId="168" fontId="2" fillId="0" borderId="0" xfId="1" applyNumberFormat="1" applyAlignment="1">
      <alignment horizontal="center" vertical="top" wrapText="1"/>
    </xf>
    <xf numFmtId="168" fontId="0" fillId="0" borderId="0" xfId="0" applyNumberFormat="1"/>
    <xf numFmtId="166" fontId="2" fillId="2" borderId="2" xfId="1" quotePrefix="1" applyNumberFormat="1" applyFont="1" applyFill="1" applyBorder="1" applyAlignment="1">
      <alignment vertical="top" wrapText="1"/>
    </xf>
    <xf numFmtId="166" fontId="2" fillId="0" borderId="0" xfId="0" applyFont="1" applyAlignment="1">
      <alignment horizontal="center" vertical="top"/>
    </xf>
    <xf numFmtId="165" fontId="2" fillId="2" borderId="5" xfId="1" applyFill="1" applyBorder="1" applyAlignment="1">
      <alignment horizontal="left" vertical="top" wrapText="1"/>
    </xf>
    <xf numFmtId="165" fontId="2" fillId="2" borderId="0" xfId="1" applyFill="1" applyBorder="1" applyAlignment="1">
      <alignment horizontal="left" vertical="top" wrapText="1"/>
    </xf>
    <xf numFmtId="165" fontId="2" fillId="2" borderId="5" xfId="1" applyFill="1" applyBorder="1" applyAlignment="1">
      <alignment vertical="top" wrapText="1"/>
    </xf>
    <xf numFmtId="166" fontId="2" fillId="2" borderId="6" xfId="1" applyNumberFormat="1" applyFill="1" applyBorder="1" applyAlignment="1">
      <alignment horizontal="center" vertical="top" wrapText="1"/>
    </xf>
    <xf numFmtId="166" fontId="2" fillId="0" borderId="0" xfId="0" applyFont="1" applyAlignment="1">
      <alignment horizontal="center"/>
    </xf>
    <xf numFmtId="166" fontId="3" fillId="0" borderId="4" xfId="0" applyFont="1" applyBorder="1"/>
    <xf numFmtId="166" fontId="3" fillId="0" borderId="6" xfId="0" applyFont="1" applyBorder="1"/>
    <xf numFmtId="166" fontId="2" fillId="5" borderId="3" xfId="0" applyFont="1" applyFill="1" applyBorder="1"/>
    <xf numFmtId="166" fontId="2" fillId="0" borderId="6" xfId="0" applyFont="1" applyBorder="1"/>
    <xf numFmtId="166" fontId="2" fillId="0" borderId="6" xfId="0" applyFont="1" applyFill="1" applyBorder="1"/>
    <xf numFmtId="166" fontId="2" fillId="0" borderId="8" xfId="0" applyFont="1" applyFill="1" applyBorder="1"/>
    <xf numFmtId="1" fontId="0" fillId="0" borderId="5" xfId="0" applyNumberFormat="1" applyBorder="1"/>
    <xf numFmtId="1" fontId="0" fillId="0" borderId="7" xfId="0" applyNumberFormat="1" applyBorder="1"/>
    <xf numFmtId="166" fontId="2" fillId="0" borderId="3" xfId="0" applyFont="1" applyBorder="1"/>
    <xf numFmtId="166" fontId="0" fillId="0" borderId="3" xfId="0" applyBorder="1"/>
    <xf numFmtId="166" fontId="0" fillId="0" borderId="1" xfId="0" applyBorder="1"/>
    <xf numFmtId="1" fontId="3" fillId="0" borderId="2" xfId="0" applyNumberFormat="1" applyFont="1" applyBorder="1"/>
    <xf numFmtId="1" fontId="3" fillId="0" borderId="7" xfId="0" applyNumberFormat="1" applyFont="1" applyBorder="1"/>
    <xf numFmtId="1" fontId="0" fillId="0" borderId="3" xfId="0" applyNumberFormat="1" applyBorder="1"/>
    <xf numFmtId="166" fontId="3" fillId="0" borderId="3" xfId="0" applyFont="1" applyBorder="1" applyAlignment="1">
      <alignment horizontal="center"/>
    </xf>
    <xf numFmtId="166" fontId="3" fillId="0" borderId="2" xfId="0" applyFont="1" applyBorder="1" applyAlignment="1">
      <alignment horizontal="center"/>
    </xf>
    <xf numFmtId="166" fontId="3" fillId="0" borderId="3" xfId="0" applyFont="1" applyBorder="1"/>
    <xf numFmtId="166" fontId="2" fillId="0" borderId="2" xfId="0" applyFont="1" applyBorder="1"/>
    <xf numFmtId="166" fontId="2" fillId="0" borderId="5" xfId="0" applyFont="1" applyBorder="1"/>
    <xf numFmtId="166" fontId="2" fillId="0" borderId="5" xfId="0" applyFont="1" applyFill="1" applyBorder="1"/>
    <xf numFmtId="166" fontId="2" fillId="0" borderId="7" xfId="0" applyFont="1" applyBorder="1"/>
    <xf numFmtId="1" fontId="0" fillId="0" borderId="2" xfId="0" applyNumberFormat="1" applyBorder="1"/>
    <xf numFmtId="166" fontId="0" fillId="0" borderId="3" xfId="0" applyBorder="1" applyAlignment="1">
      <alignment horizontal="center"/>
    </xf>
    <xf numFmtId="166" fontId="13" fillId="0" borderId="0" xfId="0" applyFont="1"/>
    <xf numFmtId="1" fontId="2" fillId="2" borderId="6" xfId="1" applyNumberFormat="1" applyFont="1" applyFill="1" applyBorder="1" applyAlignment="1">
      <alignment horizontal="center" vertical="top" wrapText="1"/>
    </xf>
    <xf numFmtId="166" fontId="3" fillId="0" borderId="12" xfId="0" applyFont="1" applyBorder="1" applyAlignment="1">
      <alignment horizontal="center"/>
    </xf>
    <xf numFmtId="166" fontId="2" fillId="6" borderId="6" xfId="0" applyFont="1" applyFill="1" applyBorder="1"/>
    <xf numFmtId="1" fontId="2" fillId="2" borderId="6" xfId="1" applyNumberFormat="1" applyFill="1" applyBorder="1" applyAlignment="1">
      <alignment horizontal="center" vertical="top" wrapText="1"/>
    </xf>
    <xf numFmtId="1" fontId="2" fillId="0" borderId="8" xfId="1" applyNumberFormat="1" applyFont="1" applyBorder="1" applyAlignment="1">
      <alignment horizontal="center" vertical="top" wrapText="1"/>
    </xf>
    <xf numFmtId="1" fontId="2" fillId="0" borderId="0" xfId="1" applyNumberFormat="1" applyAlignment="1">
      <alignment horizontal="center" vertical="top" wrapText="1"/>
    </xf>
    <xf numFmtId="1" fontId="0" fillId="0" borderId="0" xfId="0" applyNumberFormat="1"/>
    <xf numFmtId="168" fontId="2" fillId="0" borderId="8" xfId="1" applyNumberFormat="1" applyFont="1" applyBorder="1" applyAlignment="1">
      <alignment vertical="top" wrapText="1"/>
    </xf>
    <xf numFmtId="15" fontId="2" fillId="2" borderId="3" xfId="1" applyNumberFormat="1" applyFill="1" applyBorder="1" applyAlignment="1">
      <alignment horizontal="center" wrapText="1"/>
    </xf>
    <xf numFmtId="166" fontId="2" fillId="0" borderId="12" xfId="1" applyNumberFormat="1" applyBorder="1" applyAlignment="1">
      <alignment horizontal="center"/>
    </xf>
    <xf numFmtId="166" fontId="6" fillId="0" borderId="0" xfId="0" applyFont="1" applyAlignment="1">
      <alignment horizontal="center"/>
    </xf>
    <xf numFmtId="166" fontId="2" fillId="0" borderId="0" xfId="1" applyNumberFormat="1" applyAlignment="1">
      <alignment horizontal="center" vertical="top"/>
    </xf>
    <xf numFmtId="166" fontId="2" fillId="2" borderId="7" xfId="1" applyNumberFormat="1" applyFont="1" applyFill="1" applyBorder="1" applyAlignment="1">
      <alignment horizontal="center" vertical="top"/>
    </xf>
    <xf numFmtId="166" fontId="2" fillId="0" borderId="0" xfId="1" applyNumberFormat="1" applyAlignment="1">
      <alignment horizontal="center"/>
    </xf>
    <xf numFmtId="166" fontId="9" fillId="2" borderId="5" xfId="6" applyNumberFormat="1" applyFont="1" applyFill="1" applyBorder="1" applyAlignment="1" applyProtection="1">
      <alignment horizontal="center" vertical="top" wrapText="1"/>
    </xf>
    <xf numFmtId="165" fontId="2" fillId="2" borderId="5" xfId="1" applyFill="1" applyBorder="1" applyAlignment="1">
      <alignment horizontal="left" vertical="top"/>
    </xf>
    <xf numFmtId="165" fontId="2" fillId="2" borderId="0" xfId="1" applyFill="1" applyBorder="1" applyAlignment="1">
      <alignment horizontal="left" vertical="top"/>
    </xf>
    <xf numFmtId="165" fontId="2" fillId="2" borderId="5" xfId="1" applyFill="1" applyBorder="1" applyAlignment="1">
      <alignment vertical="top"/>
    </xf>
    <xf numFmtId="166" fontId="2" fillId="0" borderId="5" xfId="1" applyNumberFormat="1" applyFont="1" applyFill="1" applyBorder="1" applyAlignment="1">
      <alignment horizontal="left" vertical="top"/>
    </xf>
    <xf numFmtId="166" fontId="2" fillId="0" borderId="0" xfId="1" applyNumberFormat="1" applyFont="1" applyFill="1" applyBorder="1" applyAlignment="1">
      <alignment horizontal="left" vertical="top"/>
    </xf>
    <xf numFmtId="166" fontId="2" fillId="0" borderId="5" xfId="1" applyNumberFormat="1" applyFont="1" applyFill="1" applyBorder="1" applyAlignment="1">
      <alignment vertical="top"/>
    </xf>
    <xf numFmtId="166" fontId="2" fillId="0" borderId="8" xfId="0" applyFont="1" applyBorder="1"/>
    <xf numFmtId="167" fontId="2" fillId="2" borderId="6" xfId="1" applyNumberFormat="1" applyFont="1" applyFill="1" applyBorder="1" applyAlignment="1">
      <alignment horizontal="right" vertical="top" wrapText="1"/>
    </xf>
    <xf numFmtId="167" fontId="2" fillId="2" borderId="5" xfId="1" applyNumberFormat="1" applyFill="1" applyBorder="1" applyAlignment="1">
      <alignment horizontal="right" vertical="top" wrapText="1"/>
    </xf>
    <xf numFmtId="166" fontId="6" fillId="2" borderId="0" xfId="0" applyFont="1" applyFill="1" applyAlignment="1">
      <alignment horizontal="center"/>
    </xf>
    <xf numFmtId="166" fontId="2" fillId="2" borderId="0" xfId="1" applyNumberFormat="1" applyFill="1" applyAlignment="1">
      <alignment horizontal="center" vertical="top"/>
    </xf>
    <xf numFmtId="166" fontId="2" fillId="2" borderId="2" xfId="1" applyNumberFormat="1" applyFill="1" applyBorder="1" applyAlignment="1">
      <alignment horizontal="center"/>
    </xf>
    <xf numFmtId="166" fontId="2" fillId="2" borderId="0" xfId="1" applyNumberFormat="1" applyFill="1" applyAlignment="1">
      <alignment horizontal="center"/>
    </xf>
    <xf numFmtId="166" fontId="0" fillId="2" borderId="0" xfId="0" applyFill="1" applyAlignment="1">
      <alignment horizontal="center"/>
    </xf>
    <xf numFmtId="166" fontId="14" fillId="2" borderId="5" xfId="6" applyNumberFormat="1" applyFont="1" applyFill="1" applyBorder="1" applyAlignment="1" applyProtection="1">
      <alignment horizontal="center" vertical="top" wrapText="1"/>
    </xf>
    <xf numFmtId="166" fontId="14" fillId="2" borderId="2" xfId="6" applyNumberFormat="1" applyFont="1" applyFill="1" applyBorder="1" applyAlignment="1" applyProtection="1">
      <alignment horizontal="center" vertical="top" wrapText="1"/>
    </xf>
    <xf numFmtId="1" fontId="2" fillId="2" borderId="6" xfId="1" applyNumberFormat="1" applyFill="1" applyBorder="1" applyAlignment="1">
      <alignment horizontal="right" vertical="top" wrapText="1"/>
    </xf>
    <xf numFmtId="166" fontId="2" fillId="2" borderId="6" xfId="0" applyFont="1" applyFill="1" applyBorder="1"/>
    <xf numFmtId="165" fontId="2" fillId="2" borderId="0" xfId="1" applyFill="1" applyBorder="1" applyAlignment="1">
      <alignment vertical="top"/>
    </xf>
    <xf numFmtId="166" fontId="15" fillId="0" borderId="5" xfId="0" applyFont="1" applyBorder="1" applyAlignment="1">
      <alignment vertical="top" wrapText="1"/>
    </xf>
    <xf numFmtId="166" fontId="15" fillId="0" borderId="7" xfId="0" applyFont="1" applyBorder="1" applyAlignment="1">
      <alignment vertical="top" wrapText="1"/>
    </xf>
    <xf numFmtId="1" fontId="3" fillId="0" borderId="5" xfId="0" applyNumberFormat="1" applyFont="1" applyBorder="1"/>
    <xf numFmtId="1" fontId="0" fillId="0" borderId="0" xfId="0" applyNumberFormat="1" applyBorder="1"/>
    <xf numFmtId="1" fontId="3" fillId="0" borderId="11" xfId="0" applyNumberFormat="1" applyFont="1" applyBorder="1"/>
    <xf numFmtId="1" fontId="0" fillId="0" borderId="9" xfId="0" applyNumberFormat="1" applyBorder="1"/>
    <xf numFmtId="166" fontId="2" fillId="7" borderId="5" xfId="1" applyNumberFormat="1" applyFill="1" applyBorder="1" applyAlignment="1">
      <alignment vertical="top" wrapText="1"/>
    </xf>
    <xf numFmtId="166" fontId="2" fillId="7" borderId="5" xfId="1" applyNumberFormat="1" applyFill="1" applyBorder="1" applyAlignment="1">
      <alignment horizontal="center" vertical="top" wrapText="1"/>
    </xf>
    <xf numFmtId="166" fontId="2" fillId="7" borderId="0" xfId="1" applyNumberFormat="1" applyFill="1" applyBorder="1" applyAlignment="1">
      <alignment horizontal="left" vertical="top" wrapText="1"/>
    </xf>
    <xf numFmtId="166" fontId="2" fillId="7" borderId="5" xfId="1" applyNumberFormat="1" applyFont="1" applyFill="1" applyBorder="1" applyAlignment="1">
      <alignment horizontal="left" vertical="top" wrapText="1"/>
    </xf>
    <xf numFmtId="166" fontId="2" fillId="7" borderId="0" xfId="1" applyNumberFormat="1" applyFont="1" applyFill="1" applyBorder="1" applyAlignment="1">
      <alignment horizontal="left" vertical="top" wrapText="1"/>
    </xf>
    <xf numFmtId="166" fontId="2" fillId="7" borderId="5" xfId="1" applyNumberFormat="1" applyFont="1" applyFill="1" applyBorder="1" applyAlignment="1">
      <alignment horizontal="center" vertical="top" wrapText="1"/>
    </xf>
    <xf numFmtId="166" fontId="2" fillId="7" borderId="6" xfId="1" applyNumberFormat="1" applyFont="1" applyFill="1" applyBorder="1" applyAlignment="1">
      <alignment horizontal="center" vertical="top" wrapText="1"/>
    </xf>
    <xf numFmtId="15" fontId="2" fillId="7" borderId="5" xfId="1" applyNumberFormat="1" applyFont="1" applyFill="1" applyBorder="1" applyAlignment="1">
      <alignment horizontal="center" vertical="top" wrapText="1"/>
    </xf>
    <xf numFmtId="1" fontId="2" fillId="7" borderId="6" xfId="1" applyNumberFormat="1" applyFill="1" applyBorder="1" applyAlignment="1">
      <alignment horizontal="center" vertical="top" wrapText="1"/>
    </xf>
    <xf numFmtId="168" fontId="2" fillId="7" borderId="6" xfId="1" applyNumberFormat="1" applyFont="1" applyFill="1" applyBorder="1" applyAlignment="1">
      <alignment horizontal="right" vertical="top" wrapText="1"/>
    </xf>
    <xf numFmtId="0" fontId="2" fillId="7" borderId="5" xfId="1" applyNumberFormat="1" applyFont="1" applyFill="1" applyBorder="1" applyAlignment="1">
      <alignment horizontal="center" vertical="top" wrapText="1"/>
    </xf>
    <xf numFmtId="168" fontId="2" fillId="7" borderId="5" xfId="1" applyNumberFormat="1" applyFont="1" applyFill="1" applyBorder="1" applyAlignment="1">
      <alignment horizontal="right" vertical="top" wrapText="1"/>
    </xf>
    <xf numFmtId="1" fontId="2" fillId="7" borderId="5" xfId="1" applyNumberFormat="1" applyFont="1" applyFill="1" applyBorder="1" applyAlignment="1">
      <alignment vertical="top" wrapText="1"/>
    </xf>
    <xf numFmtId="168" fontId="2" fillId="7" borderId="5" xfId="1" applyNumberFormat="1" applyFont="1" applyFill="1" applyBorder="1" applyAlignment="1">
      <alignment vertical="top" wrapText="1"/>
    </xf>
    <xf numFmtId="168" fontId="2" fillId="7" borderId="6" xfId="1" applyNumberFormat="1" applyFont="1" applyFill="1" applyBorder="1" applyAlignment="1">
      <alignment vertical="top" wrapText="1"/>
    </xf>
    <xf numFmtId="15" fontId="2" fillId="7" borderId="6" xfId="1" applyNumberFormat="1" applyFont="1" applyFill="1" applyBorder="1" applyAlignment="1">
      <alignment horizontal="center" vertical="top" wrapText="1"/>
    </xf>
    <xf numFmtId="166" fontId="3" fillId="0" borderId="1" xfId="0" applyFont="1" applyBorder="1" applyAlignment="1">
      <alignment horizontal="center"/>
    </xf>
    <xf numFmtId="166" fontId="3" fillId="0" borderId="7" xfId="0" applyFont="1" applyFill="1" applyBorder="1" applyAlignment="1">
      <alignment horizontal="center"/>
    </xf>
    <xf numFmtId="2" fontId="3" fillId="0" borderId="2" xfId="0" applyNumberFormat="1" applyFont="1" applyBorder="1"/>
    <xf numFmtId="2" fontId="0" fillId="0" borderId="5" xfId="0" applyNumberFormat="1" applyBorder="1"/>
    <xf numFmtId="2" fontId="0" fillId="0" borderId="7" xfId="0" applyNumberFormat="1" applyBorder="1"/>
    <xf numFmtId="2" fontId="3" fillId="0" borderId="7" xfId="0" applyNumberFormat="1" applyFont="1" applyBorder="1"/>
    <xf numFmtId="2" fontId="0" fillId="0" borderId="3" xfId="0" applyNumberFormat="1" applyBorder="1"/>
    <xf numFmtId="1" fontId="2" fillId="0" borderId="5" xfId="0" applyNumberFormat="1" applyFont="1" applyBorder="1"/>
    <xf numFmtId="2" fontId="2" fillId="0" borderId="5" xfId="0" applyNumberFormat="1" applyFont="1" applyBorder="1"/>
    <xf numFmtId="166" fontId="2" fillId="7" borderId="6" xfId="1" applyNumberFormat="1" applyFill="1" applyBorder="1" applyAlignment="1">
      <alignment horizontal="center" vertical="top" wrapText="1"/>
    </xf>
    <xf numFmtId="17" fontId="0" fillId="0" borderId="1" xfId="0" applyNumberFormat="1" applyBorder="1" applyAlignment="1">
      <alignment horizontal="center"/>
    </xf>
    <xf numFmtId="17" fontId="0" fillId="0" borderId="14" xfId="0" applyNumberFormat="1" applyBorder="1" applyAlignment="1">
      <alignment horizontal="center"/>
    </xf>
    <xf numFmtId="17" fontId="0" fillId="0" borderId="12" xfId="0" applyNumberFormat="1" applyBorder="1" applyAlignment="1">
      <alignment horizontal="center"/>
    </xf>
    <xf numFmtId="1" fontId="0" fillId="0" borderId="1" xfId="0" applyNumberFormat="1" applyBorder="1"/>
    <xf numFmtId="1" fontId="0" fillId="0" borderId="14" xfId="0" applyNumberFormat="1" applyBorder="1"/>
    <xf numFmtId="1" fontId="0" fillId="0" borderId="12" xfId="0" applyNumberFormat="1" applyBorder="1"/>
    <xf numFmtId="1" fontId="3" fillId="0" borderId="4" xfId="0" applyNumberFormat="1" applyFont="1" applyBorder="1"/>
    <xf numFmtId="1" fontId="0" fillId="0" borderId="6" xfId="0" applyNumberFormat="1" applyBorder="1"/>
    <xf numFmtId="1" fontId="3" fillId="0" borderId="6" xfId="0" applyNumberFormat="1" applyFont="1" applyBorder="1"/>
    <xf numFmtId="1" fontId="2" fillId="0" borderId="6" xfId="0" applyNumberFormat="1" applyFont="1" applyBorder="1"/>
    <xf numFmtId="1" fontId="0" fillId="0" borderId="8" xfId="0" applyNumberFormat="1" applyBorder="1"/>
    <xf numFmtId="1" fontId="3" fillId="0" borderId="8" xfId="0" applyNumberFormat="1" applyFont="1" applyBorder="1"/>
    <xf numFmtId="2" fontId="0" fillId="0" borderId="7" xfId="0" applyNumberFormat="1" applyBorder="1" applyAlignment="1">
      <alignment horizontal="right"/>
    </xf>
    <xf numFmtId="1" fontId="2" fillId="0" borderId="1" xfId="1" applyNumberFormat="1" applyFill="1" applyBorder="1" applyAlignment="1">
      <alignment horizontal="center" wrapText="1"/>
    </xf>
    <xf numFmtId="168" fontId="2" fillId="7" borderId="6" xfId="1" applyNumberFormat="1" applyFont="1" applyFill="1" applyBorder="1" applyAlignment="1">
      <alignment horizontal="center" vertical="top" wrapText="1"/>
    </xf>
    <xf numFmtId="2" fontId="2" fillId="2" borderId="6" xfId="1" applyNumberFormat="1" applyFill="1" applyBorder="1" applyAlignment="1">
      <alignment horizontal="right" vertical="top" wrapText="1"/>
    </xf>
    <xf numFmtId="166" fontId="9" fillId="0" borderId="0" xfId="6" applyNumberFormat="1" applyFont="1" applyAlignment="1" applyProtection="1">
      <alignment horizontal="center" wrapText="1"/>
    </xf>
    <xf numFmtId="166" fontId="2" fillId="8" borderId="5" xfId="1" applyNumberFormat="1" applyFill="1" applyBorder="1" applyAlignment="1">
      <alignment vertical="top" wrapText="1"/>
    </xf>
    <xf numFmtId="166" fontId="2" fillId="8" borderId="5" xfId="1" applyNumberFormat="1" applyFill="1" applyBorder="1" applyAlignment="1">
      <alignment horizontal="center" vertical="top" wrapText="1"/>
    </xf>
    <xf numFmtId="166" fontId="2" fillId="8" borderId="0" xfId="1" applyNumberFormat="1" applyFill="1" applyBorder="1" applyAlignment="1">
      <alignment horizontal="left" vertical="top" wrapText="1"/>
    </xf>
    <xf numFmtId="166" fontId="2" fillId="8" borderId="5" xfId="1" applyNumberFormat="1" applyFont="1" applyFill="1" applyBorder="1" applyAlignment="1">
      <alignment horizontal="left" vertical="top" wrapText="1"/>
    </xf>
    <xf numFmtId="166" fontId="2" fillId="8" borderId="0" xfId="1" applyNumberFormat="1" applyFont="1" applyFill="1" applyBorder="1" applyAlignment="1">
      <alignment horizontal="left" vertical="top" wrapText="1"/>
    </xf>
    <xf numFmtId="166" fontId="2" fillId="8" borderId="5" xfId="1" applyNumberFormat="1" applyFont="1" applyFill="1" applyBorder="1" applyAlignment="1">
      <alignment horizontal="center" vertical="top" wrapText="1"/>
    </xf>
    <xf numFmtId="166" fontId="2" fillId="8" borderId="6" xfId="1" applyNumberFormat="1" applyFont="1" applyFill="1" applyBorder="1" applyAlignment="1">
      <alignment horizontal="center" vertical="top" wrapText="1"/>
    </xf>
    <xf numFmtId="17" fontId="2" fillId="8" borderId="6" xfId="1" applyNumberFormat="1" applyFont="1" applyFill="1" applyBorder="1" applyAlignment="1">
      <alignment horizontal="center" vertical="top" wrapText="1"/>
    </xf>
    <xf numFmtId="168" fontId="2" fillId="8" borderId="6" xfId="1" applyNumberFormat="1" applyFont="1" applyFill="1" applyBorder="1" applyAlignment="1">
      <alignment horizontal="center" vertical="top" wrapText="1"/>
    </xf>
    <xf numFmtId="15" fontId="2" fillId="8" borderId="5" xfId="1" applyNumberFormat="1" applyFont="1" applyFill="1" applyBorder="1" applyAlignment="1">
      <alignment horizontal="center" vertical="top" wrapText="1"/>
    </xf>
    <xf numFmtId="1" fontId="2" fillId="8" borderId="6" xfId="1" applyNumberFormat="1" applyFill="1" applyBorder="1" applyAlignment="1">
      <alignment horizontal="center" vertical="top" wrapText="1"/>
    </xf>
    <xf numFmtId="168" fontId="2" fillId="8" borderId="6" xfId="1" applyNumberFormat="1" applyFont="1" applyFill="1" applyBorder="1" applyAlignment="1">
      <alignment horizontal="right" vertical="top" wrapText="1"/>
    </xf>
    <xf numFmtId="0" fontId="2" fillId="8" borderId="5" xfId="1" applyNumberFormat="1" applyFont="1" applyFill="1" applyBorder="1" applyAlignment="1">
      <alignment horizontal="center" vertical="top" wrapText="1"/>
    </xf>
    <xf numFmtId="168" fontId="2" fillId="8" borderId="5" xfId="1" applyNumberFormat="1" applyFont="1" applyFill="1" applyBorder="1" applyAlignment="1">
      <alignment horizontal="right" vertical="top" wrapText="1"/>
    </xf>
    <xf numFmtId="168" fontId="2" fillId="8" borderId="5" xfId="1" applyNumberFormat="1" applyFont="1" applyFill="1" applyBorder="1" applyAlignment="1">
      <alignment vertical="top" wrapText="1"/>
    </xf>
    <xf numFmtId="168" fontId="2" fillId="8" borderId="6" xfId="1" applyNumberFormat="1" applyFont="1" applyFill="1" applyBorder="1" applyAlignment="1">
      <alignment vertical="top" wrapText="1"/>
    </xf>
    <xf numFmtId="15" fontId="2" fillId="8" borderId="6" xfId="1" applyNumberFormat="1" applyFont="1" applyFill="1" applyBorder="1" applyAlignment="1">
      <alignment horizontal="center" vertical="top" wrapText="1"/>
    </xf>
    <xf numFmtId="165" fontId="2" fillId="8" borderId="5" xfId="1" applyFill="1" applyBorder="1" applyAlignment="1">
      <alignment vertical="top" wrapText="1"/>
    </xf>
    <xf numFmtId="166" fontId="2" fillId="8" borderId="6" xfId="1" applyNumberFormat="1" applyFill="1" applyBorder="1" applyAlignment="1">
      <alignment horizontal="center" vertical="top" wrapText="1"/>
    </xf>
    <xf numFmtId="168" fontId="2" fillId="8" borderId="6" xfId="1" applyNumberFormat="1" applyFill="1" applyBorder="1" applyAlignment="1">
      <alignment horizontal="center" vertical="top" wrapText="1"/>
    </xf>
    <xf numFmtId="2" fontId="2" fillId="8" borderId="5" xfId="1" applyNumberFormat="1" applyFont="1" applyFill="1" applyBorder="1" applyAlignment="1">
      <alignment horizontal="right" vertical="top" wrapText="1"/>
    </xf>
    <xf numFmtId="2" fontId="2" fillId="8" borderId="5" xfId="1" applyNumberFormat="1" applyFont="1" applyFill="1" applyBorder="1" applyAlignment="1">
      <alignment vertical="top" wrapText="1"/>
    </xf>
    <xf numFmtId="166" fontId="3" fillId="0" borderId="0" xfId="1" applyNumberFormat="1" applyFont="1" applyAlignment="1">
      <alignment horizontal="center" vertical="center"/>
    </xf>
    <xf numFmtId="165" fontId="2" fillId="2" borderId="5" xfId="1" applyFill="1" applyBorder="1" applyAlignment="1">
      <alignment horizontal="center" vertical="top" wrapText="1"/>
    </xf>
    <xf numFmtId="165" fontId="2" fillId="8" borderId="5" xfId="1" applyFill="1" applyBorder="1" applyAlignment="1">
      <alignment horizontal="center" vertical="top" wrapText="1"/>
    </xf>
    <xf numFmtId="165" fontId="2" fillId="8" borderId="5" xfId="1" applyFill="1" applyBorder="1" applyAlignment="1">
      <alignment horizontal="left" vertical="top"/>
    </xf>
    <xf numFmtId="165" fontId="2" fillId="8" borderId="0" xfId="1" applyFill="1" applyBorder="1" applyAlignment="1">
      <alignment horizontal="left" vertical="top"/>
    </xf>
    <xf numFmtId="165" fontId="2" fillId="8" borderId="5" xfId="1" applyFont="1" applyFill="1" applyBorder="1" applyAlignment="1">
      <alignment vertical="top"/>
    </xf>
    <xf numFmtId="165" fontId="2" fillId="8" borderId="5" xfId="1" applyFill="1" applyBorder="1" applyAlignment="1">
      <alignment horizontal="left" vertical="top" wrapText="1"/>
    </xf>
    <xf numFmtId="165" fontId="2" fillId="8" borderId="0" xfId="1" applyFill="1" applyBorder="1" applyAlignment="1">
      <alignment horizontal="left" vertical="top" wrapText="1"/>
    </xf>
    <xf numFmtId="166" fontId="3" fillId="0" borderId="5" xfId="0" applyFont="1" applyBorder="1" applyAlignment="1">
      <alignment horizontal="center"/>
    </xf>
    <xf numFmtId="2" fontId="3" fillId="0" borderId="4" xfId="0" applyNumberFormat="1" applyFont="1" applyBorder="1"/>
    <xf numFmtId="2" fontId="0" fillId="0" borderId="0" xfId="0" applyNumberFormat="1" applyBorder="1"/>
    <xf numFmtId="2" fontId="0" fillId="0" borderId="9" xfId="0" applyNumberFormat="1" applyBorder="1"/>
    <xf numFmtId="165" fontId="2" fillId="2" borderId="5" xfId="1" applyFont="1" applyFill="1" applyBorder="1" applyAlignment="1">
      <alignment horizontal="left" vertical="top"/>
    </xf>
    <xf numFmtId="165" fontId="2" fillId="2" borderId="0" xfId="1" applyFont="1" applyFill="1" applyBorder="1" applyAlignment="1">
      <alignment horizontal="left" vertical="top"/>
    </xf>
    <xf numFmtId="2" fontId="3" fillId="0" borderId="5" xfId="0" applyNumberFormat="1" applyFont="1" applyBorder="1"/>
    <xf numFmtId="2" fontId="0" fillId="0" borderId="0" xfId="0" applyNumberFormat="1" applyAlignment="1">
      <alignment vertical="top"/>
    </xf>
    <xf numFmtId="166" fontId="2" fillId="0" borderId="6" xfId="0" applyFont="1" applyBorder="1" applyAlignment="1">
      <alignment vertical="top"/>
    </xf>
    <xf numFmtId="166" fontId="0" fillId="0" borderId="13" xfId="0" applyBorder="1" applyAlignment="1">
      <alignment vertical="top"/>
    </xf>
    <xf numFmtId="166" fontId="2" fillId="0" borderId="5" xfId="0" applyFont="1" applyBorder="1" applyAlignment="1">
      <alignment vertical="top"/>
    </xf>
    <xf numFmtId="2" fontId="2" fillId="0" borderId="5" xfId="0" applyNumberFormat="1" applyFont="1" applyBorder="1" applyAlignment="1">
      <alignment vertical="top"/>
    </xf>
    <xf numFmtId="2" fontId="0" fillId="0" borderId="5" xfId="0" applyNumberFormat="1" applyBorder="1" applyAlignment="1">
      <alignment vertical="top"/>
    </xf>
    <xf numFmtId="166" fontId="3" fillId="0" borderId="1" xfId="0" applyFont="1" applyBorder="1"/>
    <xf numFmtId="166" fontId="0" fillId="0" borderId="12" xfId="0" applyBorder="1"/>
    <xf numFmtId="166" fontId="3" fillId="0" borderId="1" xfId="0" applyFont="1" applyBorder="1" applyAlignment="1">
      <alignment vertical="top"/>
    </xf>
    <xf numFmtId="166" fontId="0" fillId="0" borderId="12" xfId="0" applyBorder="1" applyAlignment="1">
      <alignment vertical="top"/>
    </xf>
    <xf numFmtId="2" fontId="0" fillId="0" borderId="3" xfId="0" applyNumberFormat="1" applyBorder="1" applyAlignment="1">
      <alignment vertical="top"/>
    </xf>
    <xf numFmtId="2" fontId="3" fillId="0" borderId="3" xfId="0" applyNumberFormat="1" applyFont="1" applyBorder="1" applyAlignment="1">
      <alignment vertical="top"/>
    </xf>
    <xf numFmtId="2" fontId="2" fillId="8" borderId="6" xfId="1" applyNumberFormat="1" applyFill="1" applyBorder="1" applyAlignment="1">
      <alignment horizontal="center" vertical="top" wrapText="1"/>
    </xf>
    <xf numFmtId="2" fontId="2" fillId="2" borderId="6" xfId="1" applyNumberFormat="1" applyFill="1" applyBorder="1" applyAlignment="1">
      <alignment horizontal="center" vertical="top" wrapText="1"/>
    </xf>
    <xf numFmtId="2" fontId="2" fillId="0" borderId="0" xfId="1" applyNumberFormat="1" applyAlignment="1">
      <alignment horizontal="center" vertical="top" wrapText="1"/>
    </xf>
    <xf numFmtId="166" fontId="16" fillId="0" borderId="5" xfId="0" applyFont="1" applyBorder="1" applyAlignment="1">
      <alignment vertical="top" wrapText="1"/>
    </xf>
    <xf numFmtId="165" fontId="2" fillId="8" borderId="5" xfId="1" applyFont="1" applyFill="1" applyBorder="1" applyAlignment="1">
      <alignment horizontal="left" vertical="top"/>
    </xf>
    <xf numFmtId="165" fontId="2" fillId="8" borderId="0" xfId="1" applyFont="1" applyFill="1" applyBorder="1" applyAlignment="1">
      <alignment horizontal="left" vertical="top"/>
    </xf>
    <xf numFmtId="166" fontId="2" fillId="2" borderId="5" xfId="1" applyNumberFormat="1" applyFill="1" applyBorder="1" applyAlignment="1">
      <alignment horizontal="left" vertical="top" wrapText="1"/>
    </xf>
    <xf numFmtId="166" fontId="17" fillId="0" borderId="7" xfId="0" applyFont="1" applyBorder="1" applyAlignment="1">
      <alignment horizontal="left" vertical="top" indent="4"/>
    </xf>
    <xf numFmtId="1" fontId="2" fillId="8" borderId="5" xfId="1" applyNumberFormat="1" applyFont="1" applyFill="1" applyBorder="1" applyAlignment="1">
      <alignment vertical="top" wrapText="1"/>
    </xf>
    <xf numFmtId="2" fontId="0" fillId="0" borderId="5" xfId="0" applyNumberFormat="1" applyBorder="1" applyAlignment="1">
      <alignment horizontal="right"/>
    </xf>
    <xf numFmtId="165" fontId="0" fillId="0" borderId="5" xfId="1" applyFont="1" applyFill="1" applyBorder="1" applyAlignment="1">
      <alignment horizontal="left" vertical="top"/>
    </xf>
    <xf numFmtId="166" fontId="0" fillId="0" borderId="0" xfId="1" applyNumberFormat="1" applyFont="1" applyFill="1" applyBorder="1" applyAlignment="1">
      <alignment horizontal="left" vertical="top"/>
    </xf>
    <xf numFmtId="166" fontId="0" fillId="0" borderId="5" xfId="1" applyNumberFormat="1" applyFont="1" applyFill="1" applyBorder="1" applyAlignment="1">
      <alignment vertical="top"/>
    </xf>
    <xf numFmtId="169" fontId="3" fillId="0" borderId="6" xfId="0" applyNumberFormat="1" applyFont="1" applyFill="1" applyBorder="1"/>
    <xf numFmtId="166" fontId="2" fillId="2" borderId="6" xfId="1" applyNumberFormat="1" applyFont="1" applyFill="1" applyBorder="1" applyAlignment="1">
      <alignment horizontal="left" vertical="top" wrapText="1"/>
    </xf>
    <xf numFmtId="166" fontId="2" fillId="8" borderId="6" xfId="1" applyNumberFormat="1" applyFont="1" applyFill="1" applyBorder="1" applyAlignment="1">
      <alignment horizontal="left" vertical="top" wrapText="1"/>
    </xf>
    <xf numFmtId="166" fontId="2" fillId="0" borderId="15" xfId="0" applyFont="1" applyBorder="1"/>
    <xf numFmtId="166" fontId="2" fillId="2" borderId="6" xfId="1" applyNumberFormat="1" applyFill="1" applyBorder="1" applyAlignment="1">
      <alignment horizontal="left" vertical="top" wrapText="1"/>
    </xf>
    <xf numFmtId="166" fontId="2" fillId="2" borderId="13" xfId="1" applyNumberFormat="1" applyFont="1" applyFill="1" applyBorder="1" applyAlignment="1">
      <alignment horizontal="center" vertical="top" wrapText="1"/>
    </xf>
    <xf numFmtId="166" fontId="2" fillId="7" borderId="5" xfId="1" applyNumberFormat="1" applyFill="1" applyBorder="1" applyAlignment="1">
      <alignment horizontal="left" vertical="top" wrapText="1"/>
    </xf>
    <xf numFmtId="166" fontId="2" fillId="8" borderId="6" xfId="1" applyNumberFormat="1" applyFill="1" applyBorder="1" applyAlignment="1">
      <alignment horizontal="left" vertical="top" wrapText="1"/>
    </xf>
    <xf numFmtId="166" fontId="2" fillId="8" borderId="5" xfId="1" applyNumberFormat="1" applyFill="1" applyBorder="1" applyAlignment="1">
      <alignment horizontal="left" vertical="top" wrapText="1"/>
    </xf>
    <xf numFmtId="166" fontId="2" fillId="0" borderId="7" xfId="1" applyNumberFormat="1" applyFont="1" applyBorder="1" applyAlignment="1">
      <alignment horizontal="left" vertical="top" wrapText="1"/>
    </xf>
    <xf numFmtId="166" fontId="0" fillId="0" borderId="0" xfId="0" applyAlignment="1">
      <alignment horizontal="left"/>
    </xf>
    <xf numFmtId="166" fontId="2" fillId="7" borderId="6" xfId="1" applyNumberFormat="1" applyFont="1" applyFill="1" applyBorder="1" applyAlignment="1">
      <alignment horizontal="left" vertical="top" wrapText="1"/>
    </xf>
    <xf numFmtId="167" fontId="2" fillId="7" borderId="5" xfId="1" applyNumberFormat="1" applyFont="1" applyFill="1" applyBorder="1" applyAlignment="1">
      <alignment horizontal="right" vertical="top" wrapText="1"/>
    </xf>
    <xf numFmtId="167" fontId="2" fillId="8" borderId="5" xfId="1" applyNumberFormat="1" applyFont="1" applyFill="1" applyBorder="1" applyAlignment="1">
      <alignment horizontal="right" vertical="top" wrapText="1"/>
    </xf>
    <xf numFmtId="167" fontId="2" fillId="8" borderId="6" xfId="1" applyNumberFormat="1" applyFont="1" applyFill="1" applyBorder="1" applyAlignment="1">
      <alignment horizontal="right" vertical="top" wrapText="1"/>
    </xf>
    <xf numFmtId="167" fontId="2" fillId="7" borderId="6" xfId="1" applyNumberFormat="1" applyFont="1" applyFill="1" applyBorder="1" applyAlignment="1">
      <alignment horizontal="right" vertical="top" wrapText="1"/>
    </xf>
    <xf numFmtId="2" fontId="0" fillId="0" borderId="6" xfId="0" applyNumberFormat="1" applyBorder="1"/>
    <xf numFmtId="2" fontId="3" fillId="0" borderId="6" xfId="0" applyNumberFormat="1" applyFont="1" applyBorder="1"/>
    <xf numFmtId="2" fontId="2" fillId="0" borderId="6" xfId="0" applyNumberFormat="1" applyFont="1" applyBorder="1"/>
    <xf numFmtId="2" fontId="3" fillId="0" borderId="8" xfId="0" applyNumberFormat="1" applyFont="1" applyBorder="1"/>
    <xf numFmtId="166" fontId="2" fillId="2" borderId="5" xfId="6" applyNumberFormat="1" applyFont="1" applyFill="1" applyBorder="1" applyAlignment="1" applyProtection="1">
      <alignment horizontal="left" vertical="top" wrapText="1"/>
    </xf>
    <xf numFmtId="166" fontId="2" fillId="8" borderId="5" xfId="6" applyNumberFormat="1" applyFont="1" applyFill="1" applyBorder="1" applyAlignment="1" applyProtection="1">
      <alignment horizontal="left" vertical="top" wrapText="1"/>
    </xf>
    <xf numFmtId="1" fontId="0" fillId="0" borderId="15" xfId="0" applyNumberFormat="1" applyBorder="1"/>
    <xf numFmtId="166" fontId="2" fillId="9" borderId="5" xfId="1" applyNumberFormat="1" applyFill="1" applyBorder="1" applyAlignment="1">
      <alignment horizontal="center" vertical="top" wrapText="1"/>
    </xf>
    <xf numFmtId="166" fontId="9" fillId="0" borderId="0" xfId="6" applyNumberFormat="1" applyFont="1" applyAlignment="1" applyProtection="1">
      <alignment horizontal="center" wrapText="1"/>
    </xf>
    <xf numFmtId="166" fontId="2" fillId="7" borderId="6" xfId="1" applyNumberFormat="1" applyFill="1" applyBorder="1" applyAlignment="1">
      <alignment horizontal="left" vertical="top" wrapText="1"/>
    </xf>
    <xf numFmtId="165" fontId="2" fillId="7" borderId="5" xfId="1" applyFill="1" applyBorder="1" applyAlignment="1">
      <alignment horizontal="left" vertical="top" wrapText="1"/>
    </xf>
    <xf numFmtId="165" fontId="2" fillId="7" borderId="0" xfId="1" applyFill="1" applyBorder="1" applyAlignment="1">
      <alignment horizontal="left" vertical="top" wrapText="1"/>
    </xf>
    <xf numFmtId="165" fontId="2" fillId="7" borderId="5" xfId="1" applyFill="1" applyBorder="1" applyAlignment="1">
      <alignment vertical="top" wrapText="1"/>
    </xf>
    <xf numFmtId="17" fontId="2" fillId="7" borderId="6" xfId="1" applyNumberFormat="1" applyFont="1" applyFill="1" applyBorder="1" applyAlignment="1">
      <alignment horizontal="center" vertical="top" wrapText="1"/>
    </xf>
    <xf numFmtId="165" fontId="2" fillId="7" borderId="5" xfId="1" applyFill="1" applyBorder="1" applyAlignment="1">
      <alignment horizontal="center" vertical="top" wrapText="1"/>
    </xf>
    <xf numFmtId="2" fontId="2" fillId="7" borderId="5" xfId="1" applyNumberFormat="1" applyFont="1" applyFill="1" applyBorder="1" applyAlignment="1">
      <alignment vertical="top" wrapText="1"/>
    </xf>
    <xf numFmtId="166" fontId="2" fillId="7" borderId="5" xfId="6" applyNumberFormat="1" applyFont="1" applyFill="1" applyBorder="1" applyAlignment="1" applyProtection="1">
      <alignment horizontal="left" vertical="top" wrapText="1"/>
    </xf>
    <xf numFmtId="166" fontId="2" fillId="2" borderId="1" xfId="1" applyNumberFormat="1" applyFill="1" applyBorder="1" applyAlignment="1">
      <alignment horizontal="center"/>
    </xf>
    <xf numFmtId="165" fontId="2" fillId="2" borderId="6" xfId="1" applyFill="1" applyBorder="1" applyAlignment="1">
      <alignment horizontal="center" vertical="top" wrapText="1"/>
    </xf>
    <xf numFmtId="165" fontId="2" fillId="8" borderId="6" xfId="1" applyFill="1" applyBorder="1" applyAlignment="1">
      <alignment horizontal="center" vertical="top" wrapText="1"/>
    </xf>
    <xf numFmtId="166" fontId="2" fillId="0" borderId="8" xfId="1" applyNumberFormat="1" applyFont="1" applyFill="1" applyBorder="1" applyAlignment="1">
      <alignment horizontal="center" vertical="top" wrapText="1"/>
    </xf>
    <xf numFmtId="165" fontId="2" fillId="7" borderId="6" xfId="1" applyFill="1" applyBorder="1" applyAlignment="1">
      <alignment horizontal="center" vertical="top" wrapText="1"/>
    </xf>
    <xf numFmtId="2" fontId="2" fillId="7" borderId="6" xfId="1" applyNumberFormat="1" applyFill="1" applyBorder="1" applyAlignment="1">
      <alignment horizontal="center" vertical="top" wrapText="1"/>
    </xf>
    <xf numFmtId="167" fontId="2" fillId="7" borderId="5" xfId="1" applyNumberFormat="1" applyFill="1" applyBorder="1" applyAlignment="1">
      <alignment horizontal="right" vertical="top" wrapText="1"/>
    </xf>
    <xf numFmtId="167" fontId="2" fillId="8" borderId="5" xfId="1" applyNumberFormat="1" applyFill="1" applyBorder="1" applyAlignment="1">
      <alignment horizontal="right" vertical="top" wrapText="1"/>
    </xf>
    <xf numFmtId="167" fontId="2" fillId="0" borderId="7" xfId="1" applyNumberFormat="1" applyFont="1" applyBorder="1" applyAlignment="1">
      <alignment horizontal="right" vertical="top" wrapText="1"/>
    </xf>
    <xf numFmtId="167" fontId="2" fillId="0" borderId="0" xfId="1" applyNumberFormat="1"/>
    <xf numFmtId="167" fontId="0" fillId="0" borderId="0" xfId="0" applyNumberFormat="1"/>
    <xf numFmtId="167" fontId="2" fillId="4" borderId="5" xfId="1" applyNumberFormat="1" applyFont="1" applyFill="1" applyBorder="1" applyAlignment="1">
      <alignment horizontal="right" vertical="top" wrapText="1"/>
    </xf>
    <xf numFmtId="167" fontId="2" fillId="0" borderId="0" xfId="1" applyNumberFormat="1" applyAlignment="1">
      <alignment horizontal="center" vertical="top" wrapText="1"/>
    </xf>
    <xf numFmtId="167" fontId="2" fillId="0" borderId="0" xfId="1" applyNumberFormat="1" applyAlignment="1">
      <alignment horizontal="right" vertical="top" wrapText="1"/>
    </xf>
    <xf numFmtId="166" fontId="2" fillId="2" borderId="6" xfId="1" applyNumberFormat="1" applyFill="1" applyBorder="1" applyAlignment="1">
      <alignment horizontal="left" vertical="top" wrapText="1"/>
    </xf>
    <xf numFmtId="166" fontId="16" fillId="2" borderId="6" xfId="0" applyFont="1" applyFill="1" applyBorder="1" applyAlignment="1">
      <alignment vertical="top" wrapText="1"/>
    </xf>
    <xf numFmtId="166" fontId="0" fillId="2" borderId="0" xfId="0" applyFill="1"/>
    <xf numFmtId="167" fontId="2" fillId="2" borderId="5" xfId="1" applyNumberFormat="1" applyFill="1" applyBorder="1" applyAlignment="1">
      <alignment horizontal="left" vertical="top" wrapText="1"/>
    </xf>
    <xf numFmtId="165" fontId="2" fillId="8" borderId="5" xfId="1" applyFill="1" applyBorder="1" applyAlignment="1">
      <alignment vertical="top"/>
    </xf>
    <xf numFmtId="166" fontId="16" fillId="8" borderId="6" xfId="0" applyFont="1" applyFill="1" applyBorder="1" applyAlignment="1">
      <alignment vertical="top" wrapText="1"/>
    </xf>
    <xf numFmtId="166" fontId="2" fillId="2" borderId="5" xfId="6" applyNumberFormat="1" applyFont="1" applyFill="1" applyBorder="1" applyAlignment="1" applyProtection="1">
      <alignment horizontal="center" vertical="top" wrapText="1"/>
    </xf>
    <xf numFmtId="166" fontId="19" fillId="0" borderId="7" xfId="0" applyFont="1" applyBorder="1"/>
    <xf numFmtId="1" fontId="2" fillId="0" borderId="7" xfId="0" applyNumberFormat="1" applyFont="1" applyBorder="1"/>
    <xf numFmtId="1" fontId="2" fillId="0" borderId="8" xfId="0" applyNumberFormat="1" applyFont="1" applyBorder="1"/>
    <xf numFmtId="166" fontId="2" fillId="8" borderId="0" xfId="1" applyNumberFormat="1" applyFont="1" applyFill="1" applyBorder="1" applyAlignment="1">
      <alignment horizontal="left" vertical="top"/>
    </xf>
    <xf numFmtId="166" fontId="2" fillId="8" borderId="13" xfId="1" applyNumberFormat="1" applyFont="1" applyFill="1" applyBorder="1" applyAlignment="1">
      <alignment horizontal="center" vertical="top" wrapText="1"/>
    </xf>
    <xf numFmtId="167" fontId="2" fillId="8" borderId="6" xfId="1" applyNumberFormat="1" applyFill="1" applyBorder="1" applyAlignment="1">
      <alignment horizontal="center" vertical="top" wrapText="1"/>
    </xf>
    <xf numFmtId="166" fontId="2" fillId="2" borderId="0" xfId="1" applyNumberFormat="1" applyFont="1" applyFill="1" applyBorder="1" applyAlignment="1">
      <alignment horizontal="left" vertical="top"/>
    </xf>
    <xf numFmtId="167" fontId="2" fillId="2" borderId="6" xfId="1" applyNumberFormat="1" applyFill="1" applyBorder="1" applyAlignment="1">
      <alignment horizontal="center" vertical="top" wrapText="1"/>
    </xf>
    <xf numFmtId="1" fontId="0" fillId="2" borderId="5" xfId="0" applyNumberFormat="1" applyFill="1" applyBorder="1"/>
    <xf numFmtId="2" fontId="0" fillId="2" borderId="5" xfId="0" applyNumberFormat="1" applyFill="1" applyBorder="1"/>
    <xf numFmtId="1" fontId="0" fillId="2" borderId="0" xfId="0" applyNumberFormat="1" applyFill="1"/>
    <xf numFmtId="166" fontId="0" fillId="0" borderId="5" xfId="0" applyBorder="1" applyAlignment="1">
      <alignment horizontal="left" vertical="top"/>
    </xf>
    <xf numFmtId="166" fontId="9" fillId="0" borderId="5" xfId="6" applyNumberFormat="1" applyFont="1" applyBorder="1" applyAlignment="1" applyProtection="1">
      <alignment horizontal="left" vertical="top" wrapText="1"/>
    </xf>
    <xf numFmtId="166" fontId="12" fillId="2" borderId="5" xfId="6" applyNumberFormat="1" applyFont="1" applyFill="1" applyBorder="1" applyAlignment="1" applyProtection="1">
      <alignment horizontal="left" vertical="top" wrapText="1"/>
    </xf>
    <xf numFmtId="166" fontId="9" fillId="2" borderId="5" xfId="6" applyNumberFormat="1" applyFont="1" applyFill="1" applyBorder="1" applyAlignment="1" applyProtection="1">
      <alignment horizontal="left" vertical="top" wrapText="1"/>
    </xf>
    <xf numFmtId="166" fontId="17" fillId="0" borderId="5" xfId="0" applyFont="1" applyBorder="1" applyAlignment="1">
      <alignment horizontal="left" vertical="top" wrapText="1"/>
    </xf>
    <xf numFmtId="166" fontId="17" fillId="8" borderId="5" xfId="0" applyFont="1" applyFill="1" applyBorder="1" applyAlignment="1">
      <alignment horizontal="left" vertical="top" wrapText="1"/>
    </xf>
    <xf numFmtId="166" fontId="17" fillId="7" borderId="5" xfId="0" applyFont="1" applyFill="1" applyBorder="1" applyAlignment="1">
      <alignment horizontal="left" vertical="top" wrapText="1"/>
    </xf>
    <xf numFmtId="166" fontId="17" fillId="2" borderId="5" xfId="0" applyFont="1" applyFill="1" applyBorder="1" applyAlignment="1">
      <alignment horizontal="left" vertical="top" wrapText="1"/>
    </xf>
    <xf numFmtId="165" fontId="0" fillId="8" borderId="5" xfId="1" applyFont="1" applyFill="1" applyBorder="1" applyAlignment="1">
      <alignment horizontal="left" vertical="top" wrapText="1"/>
    </xf>
    <xf numFmtId="166" fontId="0" fillId="8" borderId="0" xfId="1" applyNumberFormat="1" applyFont="1" applyFill="1" applyBorder="1" applyAlignment="1">
      <alignment horizontal="left" vertical="top" wrapText="1"/>
    </xf>
    <xf numFmtId="166" fontId="2" fillId="2" borderId="6" xfId="1" applyNumberFormat="1" applyFill="1" applyBorder="1" applyAlignment="1">
      <alignment horizontal="left" vertical="top" wrapText="1"/>
    </xf>
    <xf numFmtId="166" fontId="2" fillId="2" borderId="6" xfId="1" applyNumberFormat="1" applyFill="1" applyBorder="1" applyAlignment="1">
      <alignment horizontal="left" vertical="top" wrapText="1"/>
    </xf>
    <xf numFmtId="17" fontId="2" fillId="2" borderId="6" xfId="1" applyNumberFormat="1" applyFill="1" applyBorder="1" applyAlignment="1">
      <alignment horizontal="center" vertical="top" wrapText="1"/>
    </xf>
    <xf numFmtId="168" fontId="2" fillId="2" borderId="6" xfId="1" applyNumberFormat="1" applyFill="1" applyBorder="1" applyAlignment="1">
      <alignment horizontal="center" vertical="top" wrapText="1"/>
    </xf>
    <xf numFmtId="166" fontId="2" fillId="2" borderId="5" xfId="5" applyNumberFormat="1" applyFont="1" applyFill="1" applyBorder="1" applyAlignment="1">
      <alignment horizontal="center" vertical="top" wrapText="1"/>
    </xf>
    <xf numFmtId="166" fontId="2" fillId="2" borderId="5" xfId="5" applyNumberFormat="1" applyFill="1" applyBorder="1" applyAlignment="1">
      <alignment horizontal="center" vertical="top" wrapText="1"/>
    </xf>
    <xf numFmtId="166" fontId="2" fillId="2" borderId="6" xfId="5" applyNumberFormat="1" applyFill="1" applyBorder="1" applyAlignment="1">
      <alignment horizontal="center" vertical="top" wrapText="1"/>
    </xf>
    <xf numFmtId="1" fontId="2" fillId="2" borderId="5" xfId="1" applyNumberFormat="1" applyFont="1" applyFill="1" applyBorder="1" applyAlignment="1">
      <alignment vertical="top" wrapText="1"/>
    </xf>
    <xf numFmtId="2" fontId="2" fillId="0" borderId="8" xfId="0" applyNumberFormat="1" applyFont="1" applyBorder="1"/>
    <xf numFmtId="2" fontId="2" fillId="0" borderId="7" xfId="0" applyNumberFormat="1" applyFont="1" applyBorder="1"/>
    <xf numFmtId="165" fontId="0" fillId="8" borderId="5" xfId="1" applyFont="1" applyFill="1" applyBorder="1" applyAlignment="1">
      <alignment horizontal="left" vertical="top"/>
    </xf>
    <xf numFmtId="166" fontId="0" fillId="8" borderId="0" xfId="1" applyNumberFormat="1" applyFont="1" applyFill="1" applyBorder="1" applyAlignment="1">
      <alignment horizontal="left" vertical="top"/>
    </xf>
    <xf numFmtId="17" fontId="2" fillId="8" borderId="6" xfId="1" applyNumberFormat="1" applyFill="1" applyBorder="1" applyAlignment="1">
      <alignment horizontal="center" vertical="top" wrapText="1"/>
    </xf>
    <xf numFmtId="168" fontId="2" fillId="2" borderId="5" xfId="5" applyNumberFormat="1" applyFont="1" applyFill="1" applyBorder="1" applyAlignment="1">
      <alignment vertical="top" wrapText="1"/>
    </xf>
    <xf numFmtId="166" fontId="2" fillId="2" borderId="5" xfId="5" applyNumberFormat="1" applyFill="1" applyBorder="1" applyAlignment="1">
      <alignment horizontal="left" vertical="top" wrapText="1"/>
    </xf>
    <xf numFmtId="165" fontId="16" fillId="2" borderId="5" xfId="1" applyFont="1" applyFill="1" applyBorder="1" applyAlignment="1">
      <alignment vertical="top" wrapText="1"/>
    </xf>
    <xf numFmtId="168" fontId="2" fillId="8" borderId="5" xfId="5" applyNumberFormat="1" applyFont="1" applyFill="1" applyBorder="1" applyAlignment="1">
      <alignment vertical="top" wrapText="1"/>
    </xf>
    <xf numFmtId="165" fontId="16" fillId="8" borderId="5" xfId="1" applyFont="1" applyFill="1" applyBorder="1" applyAlignment="1">
      <alignment vertical="top" wrapText="1"/>
    </xf>
    <xf numFmtId="166" fontId="2" fillId="2" borderId="5" xfId="5" applyNumberFormat="1" applyFont="1" applyFill="1" applyBorder="1" applyAlignment="1">
      <alignment horizontal="left" vertical="top" wrapText="1"/>
    </xf>
    <xf numFmtId="165" fontId="16" fillId="0" borderId="5" xfId="1" applyFont="1" applyBorder="1" applyAlignment="1">
      <alignment vertical="top" wrapText="1"/>
    </xf>
    <xf numFmtId="168" fontId="2" fillId="2" borderId="6" xfId="1" applyNumberFormat="1" applyFill="1" applyBorder="1" applyAlignment="1">
      <alignment horizontal="right" vertical="top" wrapText="1"/>
    </xf>
    <xf numFmtId="166" fontId="2" fillId="2" borderId="6" xfId="1" applyNumberFormat="1" applyFill="1" applyBorder="1" applyAlignment="1">
      <alignment horizontal="left" vertical="top" wrapText="1"/>
    </xf>
    <xf numFmtId="166" fontId="2" fillId="7" borderId="13" xfId="1" applyNumberFormat="1" applyFont="1" applyFill="1" applyBorder="1" applyAlignment="1">
      <alignment horizontal="center" vertical="top" wrapText="1"/>
    </xf>
    <xf numFmtId="168" fontId="2" fillId="2" borderId="5" xfId="1" applyNumberFormat="1" applyFill="1" applyBorder="1" applyAlignment="1">
      <alignment horizontal="center" vertical="top" wrapText="1"/>
    </xf>
    <xf numFmtId="166" fontId="16" fillId="8" borderId="5" xfId="0" applyFont="1" applyFill="1" applyBorder="1" applyAlignment="1">
      <alignment vertical="top" wrapText="1"/>
    </xf>
    <xf numFmtId="168" fontId="2" fillId="2" borderId="6" xfId="5" applyNumberFormat="1" applyFont="1" applyFill="1" applyBorder="1" applyAlignment="1">
      <alignment vertical="top" wrapText="1"/>
    </xf>
    <xf numFmtId="166" fontId="2" fillId="2" borderId="6" xfId="5" applyNumberFormat="1" applyFont="1" applyFill="1" applyBorder="1" applyAlignment="1">
      <alignment horizontal="left" vertical="top" wrapText="1"/>
    </xf>
    <xf numFmtId="165" fontId="16" fillId="2" borderId="6" xfId="1" applyFont="1" applyFill="1" applyBorder="1" applyAlignment="1">
      <alignment vertical="top" wrapText="1"/>
    </xf>
    <xf numFmtId="166" fontId="2" fillId="2" borderId="6" xfId="1" applyNumberFormat="1" applyFill="1" applyBorder="1" applyAlignment="1">
      <alignment horizontal="left" vertical="top" wrapText="1"/>
    </xf>
    <xf numFmtId="165" fontId="2" fillId="0" borderId="5" xfId="1" applyBorder="1" applyAlignment="1">
      <alignment horizontal="left" vertical="top"/>
    </xf>
    <xf numFmtId="165" fontId="2" fillId="0" borderId="0" xfId="1" applyBorder="1" applyAlignment="1">
      <alignment horizontal="left" vertical="top"/>
    </xf>
    <xf numFmtId="165" fontId="2" fillId="2" borderId="5" xfId="1" applyFont="1" applyFill="1" applyBorder="1" applyAlignment="1">
      <alignment vertical="top"/>
    </xf>
    <xf numFmtId="165" fontId="2" fillId="2" borderId="0" xfId="1" applyFont="1" applyFill="1" applyBorder="1" applyAlignment="1">
      <alignment vertical="top"/>
    </xf>
    <xf numFmtId="166" fontId="9" fillId="8" borderId="5" xfId="6" applyNumberFormat="1" applyFont="1" applyFill="1" applyBorder="1" applyAlignment="1" applyProtection="1">
      <alignment horizontal="left" vertical="top" wrapText="1"/>
    </xf>
    <xf numFmtId="168" fontId="2" fillId="8" borderId="6" xfId="5" applyNumberFormat="1" applyFont="1" applyFill="1" applyBorder="1" applyAlignment="1">
      <alignment vertical="top" wrapText="1"/>
    </xf>
    <xf numFmtId="166" fontId="2" fillId="8" borderId="5" xfId="0" applyFont="1" applyFill="1" applyBorder="1" applyAlignment="1">
      <alignment horizontal="left" vertical="top" wrapText="1"/>
    </xf>
    <xf numFmtId="170" fontId="2" fillId="2" borderId="5" xfId="1" applyNumberFormat="1" applyFont="1" applyFill="1" applyBorder="1" applyAlignment="1">
      <alignment vertical="top" wrapText="1"/>
    </xf>
    <xf numFmtId="167" fontId="2" fillId="2" borderId="6" xfId="1" applyNumberFormat="1" applyFont="1" applyFill="1" applyBorder="1" applyAlignment="1">
      <alignment horizontal="center" vertical="top" wrapText="1"/>
    </xf>
    <xf numFmtId="166" fontId="2" fillId="2" borderId="6" xfId="1" applyNumberFormat="1" applyFill="1" applyBorder="1" applyAlignment="1">
      <alignment horizontal="left" vertical="top" wrapText="1"/>
    </xf>
    <xf numFmtId="165" fontId="0" fillId="2" borderId="5" xfId="1" applyFont="1" applyFill="1" applyBorder="1" applyAlignment="1">
      <alignment horizontal="left" vertical="top" wrapText="1"/>
    </xf>
    <xf numFmtId="166" fontId="0" fillId="2" borderId="0" xfId="1" applyNumberFormat="1" applyFont="1" applyFill="1" applyBorder="1" applyAlignment="1">
      <alignment horizontal="left" vertical="top" wrapText="1"/>
    </xf>
    <xf numFmtId="166" fontId="0" fillId="0" borderId="0" xfId="0" applyAlignment="1">
      <alignment horizontal="right" vertical="top"/>
    </xf>
    <xf numFmtId="166" fontId="2" fillId="0" borderId="0" xfId="0" applyFont="1" applyAlignment="1">
      <alignment vertical="top"/>
    </xf>
    <xf numFmtId="10" fontId="3" fillId="0" borderId="0" xfId="0" applyNumberFormat="1" applyFont="1" applyAlignment="1">
      <alignment vertical="top"/>
    </xf>
    <xf numFmtId="166" fontId="2" fillId="2" borderId="6" xfId="1" applyNumberFormat="1" applyFill="1" applyBorder="1" applyAlignment="1">
      <alignment horizontal="left" vertical="top" wrapText="1"/>
    </xf>
    <xf numFmtId="17" fontId="2" fillId="8" borderId="5" xfId="1" applyNumberFormat="1" applyFill="1" applyBorder="1" applyAlignment="1">
      <alignment horizontal="center" vertical="top" wrapText="1"/>
    </xf>
    <xf numFmtId="166" fontId="0" fillId="0" borderId="5" xfId="0" applyBorder="1"/>
    <xf numFmtId="166" fontId="15" fillId="7" borderId="5" xfId="0" applyFont="1" applyFill="1" applyBorder="1" applyAlignment="1">
      <alignment vertical="top" wrapText="1"/>
    </xf>
    <xf numFmtId="166" fontId="2" fillId="2" borderId="6" xfId="1" applyNumberFormat="1" applyFill="1" applyBorder="1" applyAlignment="1">
      <alignment horizontal="left" vertical="top" wrapText="1"/>
    </xf>
    <xf numFmtId="2" fontId="3" fillId="0" borderId="11" xfId="0" applyNumberFormat="1" applyFont="1" applyBorder="1"/>
    <xf numFmtId="167" fontId="2" fillId="8" borderId="5" xfId="1" applyNumberFormat="1" applyFont="1" applyFill="1" applyBorder="1" applyAlignment="1">
      <alignment vertical="top" wrapText="1"/>
    </xf>
    <xf numFmtId="165" fontId="0" fillId="2" borderId="5" xfId="1" applyFont="1" applyFill="1" applyBorder="1" applyAlignment="1">
      <alignment horizontal="left" vertical="top"/>
    </xf>
    <xf numFmtId="166" fontId="0" fillId="2" borderId="0" xfId="1" applyNumberFormat="1" applyFont="1" applyFill="1" applyBorder="1" applyAlignment="1">
      <alignment horizontal="left" vertical="top"/>
    </xf>
    <xf numFmtId="166" fontId="0" fillId="2" borderId="5" xfId="1" applyNumberFormat="1" applyFont="1" applyFill="1" applyBorder="1" applyAlignment="1">
      <alignment vertical="top"/>
    </xf>
    <xf numFmtId="166" fontId="0" fillId="2" borderId="6" xfId="1" applyNumberFormat="1" applyFont="1" applyFill="1" applyBorder="1" applyAlignment="1">
      <alignment vertical="top"/>
    </xf>
    <xf numFmtId="168" fontId="0" fillId="0" borderId="5" xfId="0" applyNumberFormat="1" applyBorder="1"/>
    <xf numFmtId="168" fontId="2" fillId="0" borderId="3" xfId="0" applyNumberFormat="1" applyFont="1" applyBorder="1" applyAlignment="1">
      <alignment horizontal="center"/>
    </xf>
    <xf numFmtId="166" fontId="2" fillId="0" borderId="3" xfId="0" applyFont="1" applyBorder="1" applyAlignment="1">
      <alignment horizontal="center"/>
    </xf>
    <xf numFmtId="168" fontId="0" fillId="0" borderId="3" xfId="0" applyNumberFormat="1" applyBorder="1"/>
    <xf numFmtId="166" fontId="2" fillId="2" borderId="6" xfId="1" applyNumberFormat="1" applyFill="1" applyBorder="1" applyAlignment="1">
      <alignment horizontal="left" vertical="top" wrapText="1"/>
    </xf>
    <xf numFmtId="166" fontId="2" fillId="2" borderId="5" xfId="1" applyNumberFormat="1" applyFont="1" applyFill="1" applyBorder="1" applyAlignment="1">
      <alignment vertical="top"/>
    </xf>
    <xf numFmtId="166" fontId="2" fillId="2" borderId="6" xfId="1" applyNumberFormat="1" applyFill="1" applyBorder="1" applyAlignment="1">
      <alignment horizontal="left" vertical="top" wrapText="1"/>
    </xf>
    <xf numFmtId="166" fontId="3" fillId="2" borderId="6" xfId="0" applyFont="1" applyFill="1" applyBorder="1"/>
    <xf numFmtId="2" fontId="0" fillId="0" borderId="0" xfId="0" applyNumberFormat="1" applyBorder="1" applyAlignment="1">
      <alignment horizontal="right"/>
    </xf>
    <xf numFmtId="1" fontId="0" fillId="2" borderId="0" xfId="0" applyNumberFormat="1" applyFill="1" applyBorder="1"/>
    <xf numFmtId="2" fontId="0" fillId="2" borderId="0" xfId="0" applyNumberFormat="1" applyFill="1" applyBorder="1"/>
    <xf numFmtId="2" fontId="0" fillId="0" borderId="9" xfId="0" applyNumberFormat="1" applyBorder="1" applyAlignment="1">
      <alignment horizontal="right"/>
    </xf>
    <xf numFmtId="166" fontId="2" fillId="2" borderId="8" xfId="0" applyFont="1" applyFill="1" applyBorder="1"/>
    <xf numFmtId="166" fontId="2" fillId="8" borderId="5" xfId="1" applyNumberFormat="1" applyFont="1" applyFill="1" applyBorder="1" applyAlignment="1">
      <alignment vertical="top"/>
    </xf>
    <xf numFmtId="166" fontId="20" fillId="0" borderId="16" xfId="7" applyNumberFormat="1" applyFont="1" applyBorder="1" applyAlignment="1">
      <alignment horizontal="center" vertical="top" wrapText="1"/>
    </xf>
    <xf numFmtId="166" fontId="20" fillId="0" borderId="17" xfId="7" applyNumberFormat="1" applyFont="1" applyBorder="1" applyAlignment="1">
      <alignment horizontal="center" vertical="top" wrapText="1"/>
    </xf>
    <xf numFmtId="166" fontId="20" fillId="0" borderId="18" xfId="7" applyNumberFormat="1" applyFont="1" applyFill="1" applyBorder="1" applyAlignment="1">
      <alignment horizontal="center" vertical="top" wrapText="1"/>
    </xf>
    <xf numFmtId="165" fontId="21" fillId="0" borderId="16" xfId="7" applyFont="1" applyBorder="1" applyAlignment="1">
      <alignment horizontal="center"/>
    </xf>
    <xf numFmtId="165" fontId="21" fillId="0" borderId="0" xfId="7" applyFont="1"/>
    <xf numFmtId="166" fontId="20" fillId="0" borderId="17" xfId="7" applyNumberFormat="1" applyFont="1" applyBorder="1" applyAlignment="1">
      <alignment horizontal="left" vertical="center" wrapText="1"/>
    </xf>
    <xf numFmtId="166" fontId="23" fillId="0" borderId="16" xfId="7" applyNumberFormat="1" applyFont="1" applyBorder="1" applyAlignment="1">
      <alignment horizontal="left" vertical="center" wrapText="1"/>
    </xf>
    <xf numFmtId="165" fontId="24" fillId="0" borderId="19" xfId="7" applyFont="1" applyBorder="1" applyAlignment="1">
      <alignment vertical="center"/>
    </xf>
    <xf numFmtId="165" fontId="24" fillId="0" borderId="16" xfId="7" applyFont="1" applyBorder="1" applyAlignment="1">
      <alignment horizontal="left" vertical="center" wrapText="1"/>
    </xf>
    <xf numFmtId="165" fontId="24" fillId="0" borderId="0" xfId="7" applyFont="1" applyAlignment="1">
      <alignment vertical="center"/>
    </xf>
    <xf numFmtId="166" fontId="20" fillId="0" borderId="21" xfId="7" applyNumberFormat="1" applyFont="1" applyBorder="1" applyAlignment="1">
      <alignment horizontal="left" vertical="center" wrapText="1"/>
    </xf>
    <xf numFmtId="166" fontId="23" fillId="0" borderId="20" xfId="7" applyNumberFormat="1" applyFont="1" applyBorder="1" applyAlignment="1">
      <alignment vertical="center" wrapText="1"/>
    </xf>
    <xf numFmtId="165" fontId="24" fillId="0" borderId="22" xfId="7" applyFont="1" applyBorder="1" applyAlignment="1">
      <alignment vertical="center"/>
    </xf>
    <xf numFmtId="165" fontId="24" fillId="0" borderId="20" xfId="7" applyFont="1" applyBorder="1" applyAlignment="1">
      <alignment horizontal="left" vertical="center" wrapText="1"/>
    </xf>
    <xf numFmtId="166" fontId="23" fillId="0" borderId="20" xfId="7" applyNumberFormat="1" applyFont="1" applyBorder="1" applyAlignment="1">
      <alignment horizontal="left" vertical="center" wrapText="1"/>
    </xf>
    <xf numFmtId="166" fontId="23" fillId="2" borderId="20" xfId="7" applyNumberFormat="1" applyFont="1" applyFill="1" applyBorder="1" applyAlignment="1">
      <alignment vertical="center" wrapText="1"/>
    </xf>
    <xf numFmtId="166" fontId="23" fillId="2" borderId="20" xfId="7" applyNumberFormat="1" applyFont="1" applyFill="1" applyBorder="1" applyAlignment="1">
      <alignment horizontal="left" vertical="center" wrapText="1"/>
    </xf>
    <xf numFmtId="165" fontId="24" fillId="0" borderId="24" xfId="7" applyFont="1" applyBorder="1" applyAlignment="1">
      <alignment vertical="center"/>
    </xf>
    <xf numFmtId="165" fontId="24" fillId="0" borderId="23" xfId="7" applyFont="1" applyBorder="1" applyAlignment="1">
      <alignment vertical="center"/>
    </xf>
    <xf numFmtId="166" fontId="22" fillId="0" borderId="16" xfId="7" applyNumberFormat="1" applyFont="1" applyBorder="1" applyAlignment="1">
      <alignment vertical="center" wrapText="1"/>
    </xf>
    <xf numFmtId="166" fontId="20" fillId="0" borderId="17" xfId="7" applyNumberFormat="1" applyFont="1" applyBorder="1" applyAlignment="1">
      <alignment vertical="center" wrapText="1"/>
    </xf>
    <xf numFmtId="166" fontId="23" fillId="0" borderId="16" xfId="7" applyNumberFormat="1" applyFont="1" applyBorder="1" applyAlignment="1">
      <alignment vertical="center" wrapText="1"/>
    </xf>
    <xf numFmtId="165" fontId="24" fillId="0" borderId="25" xfId="7" applyFont="1" applyBorder="1" applyAlignment="1">
      <alignment vertical="center"/>
    </xf>
    <xf numFmtId="165" fontId="21" fillId="0" borderId="21" xfId="7" applyFont="1" applyBorder="1" applyAlignment="1">
      <alignment horizontal="left" vertical="center" wrapText="1"/>
    </xf>
    <xf numFmtId="165" fontId="24" fillId="0" borderId="26" xfId="7" applyFont="1" applyBorder="1" applyAlignment="1">
      <alignment vertical="center"/>
    </xf>
    <xf numFmtId="165" fontId="24" fillId="0" borderId="27" xfId="7" applyFont="1" applyBorder="1" applyAlignment="1">
      <alignment vertical="center"/>
    </xf>
    <xf numFmtId="165" fontId="24" fillId="2" borderId="20" xfId="7" applyFont="1" applyFill="1" applyBorder="1" applyAlignment="1">
      <alignment horizontal="left" vertical="center" wrapText="1"/>
    </xf>
    <xf numFmtId="165" fontId="24" fillId="0" borderId="21" xfId="7" applyFont="1" applyBorder="1" applyAlignment="1">
      <alignment horizontal="left" vertical="center" wrapText="1"/>
    </xf>
    <xf numFmtId="165" fontId="24" fillId="0" borderId="16" xfId="7" applyFont="1" applyBorder="1" applyAlignment="1">
      <alignment vertical="center"/>
    </xf>
    <xf numFmtId="166" fontId="22" fillId="0" borderId="20" xfId="7" applyNumberFormat="1" applyFont="1" applyBorder="1" applyAlignment="1">
      <alignment vertical="center" wrapText="1"/>
    </xf>
    <xf numFmtId="166" fontId="20" fillId="0" borderId="21" xfId="7" applyNumberFormat="1" applyFont="1" applyBorder="1" applyAlignment="1">
      <alignment vertical="center" wrapText="1"/>
    </xf>
    <xf numFmtId="165" fontId="24" fillId="0" borderId="20" xfId="7" applyFont="1" applyBorder="1" applyAlignment="1">
      <alignment vertical="center"/>
    </xf>
    <xf numFmtId="165" fontId="24" fillId="0" borderId="28" xfId="7" applyFont="1" applyBorder="1" applyAlignment="1">
      <alignment vertical="center"/>
    </xf>
    <xf numFmtId="166" fontId="25" fillId="0" borderId="20" xfId="7" applyNumberFormat="1" applyFont="1" applyBorder="1" applyAlignment="1">
      <alignment vertical="center" wrapText="1"/>
    </xf>
    <xf numFmtId="166" fontId="20" fillId="0" borderId="0" xfId="7" applyNumberFormat="1" applyFont="1" applyBorder="1" applyAlignment="1">
      <alignment vertical="center" wrapText="1"/>
    </xf>
    <xf numFmtId="165" fontId="24" fillId="0" borderId="20" xfId="7" applyFont="1" applyBorder="1"/>
    <xf numFmtId="165" fontId="21" fillId="0" borderId="21" xfId="7" applyFont="1" applyBorder="1"/>
    <xf numFmtId="166" fontId="23" fillId="0" borderId="20" xfId="7" applyNumberFormat="1" applyFont="1" applyBorder="1" applyAlignment="1">
      <alignment vertical="top" wrapText="1"/>
    </xf>
    <xf numFmtId="165" fontId="24" fillId="0" borderId="27" xfId="7" applyFont="1" applyBorder="1"/>
    <xf numFmtId="165" fontId="24" fillId="0" borderId="0" xfId="7" applyFont="1"/>
    <xf numFmtId="166" fontId="22" fillId="0" borderId="16" xfId="7" applyNumberFormat="1" applyFont="1" applyBorder="1" applyAlignment="1">
      <alignment vertical="top" wrapText="1"/>
    </xf>
    <xf numFmtId="166" fontId="20" fillId="0" borderId="17" xfId="7" applyNumberFormat="1" applyFont="1" applyBorder="1" applyAlignment="1">
      <alignment vertical="top" wrapText="1"/>
    </xf>
    <xf numFmtId="166" fontId="23" fillId="2" borderId="16" xfId="7" applyNumberFormat="1" applyFont="1" applyFill="1" applyBorder="1" applyAlignment="1">
      <alignment vertical="center" wrapText="1"/>
    </xf>
    <xf numFmtId="165" fontId="24" fillId="0" borderId="19" xfId="7" applyFont="1" applyBorder="1"/>
    <xf numFmtId="166" fontId="22" fillId="0" borderId="20" xfId="7" applyNumberFormat="1" applyFont="1" applyBorder="1" applyAlignment="1">
      <alignment vertical="top" wrapText="1"/>
    </xf>
    <xf numFmtId="166" fontId="20" fillId="0" borderId="21" xfId="7" applyNumberFormat="1" applyFont="1" applyBorder="1" applyAlignment="1">
      <alignment vertical="top" wrapText="1"/>
    </xf>
    <xf numFmtId="165" fontId="24" fillId="0" borderId="29" xfId="7" applyFont="1" applyBorder="1"/>
    <xf numFmtId="166" fontId="22" fillId="0" borderId="23" xfId="7" applyNumberFormat="1" applyFont="1" applyBorder="1" applyAlignment="1">
      <alignment vertical="top" wrapText="1"/>
    </xf>
    <xf numFmtId="166" fontId="22" fillId="0" borderId="30" xfId="7" applyNumberFormat="1" applyFont="1" applyBorder="1" applyAlignment="1">
      <alignment vertical="top" wrapText="1"/>
    </xf>
    <xf numFmtId="166" fontId="23" fillId="0" borderId="23" xfId="7" applyNumberFormat="1" applyFont="1" applyBorder="1" applyAlignment="1">
      <alignment vertical="center" wrapText="1"/>
    </xf>
    <xf numFmtId="165" fontId="24" fillId="0" borderId="23" xfId="7" applyFont="1" applyBorder="1"/>
    <xf numFmtId="166" fontId="22" fillId="0" borderId="31" xfId="7" applyNumberFormat="1" applyFont="1" applyBorder="1" applyAlignment="1">
      <alignment vertical="top" wrapText="1"/>
    </xf>
    <xf numFmtId="165" fontId="24" fillId="0" borderId="25" xfId="7" applyFont="1" applyBorder="1"/>
    <xf numFmtId="165" fontId="24" fillId="0" borderId="20" xfId="7" applyFont="1" applyBorder="1" applyAlignment="1">
      <alignment horizontal="left" vertical="top" wrapText="1"/>
    </xf>
    <xf numFmtId="165" fontId="24" fillId="0" borderId="22" xfId="7" applyFont="1" applyBorder="1"/>
    <xf numFmtId="165" fontId="24" fillId="0" borderId="26" xfId="7" applyFont="1" applyBorder="1"/>
    <xf numFmtId="165" fontId="24" fillId="0" borderId="24" xfId="7" applyFont="1" applyBorder="1"/>
    <xf numFmtId="165" fontId="24" fillId="0" borderId="32" xfId="7" applyFont="1" applyBorder="1"/>
    <xf numFmtId="166" fontId="22" fillId="0" borderId="17" xfId="7" applyNumberFormat="1" applyFont="1" applyBorder="1" applyAlignment="1">
      <alignment vertical="top" wrapText="1"/>
    </xf>
    <xf numFmtId="166" fontId="25" fillId="0" borderId="21" xfId="7" applyNumberFormat="1" applyFont="1" applyBorder="1" applyAlignment="1">
      <alignment vertical="top" wrapText="1"/>
    </xf>
    <xf numFmtId="166" fontId="25" fillId="0" borderId="20" xfId="7" applyNumberFormat="1" applyFont="1" applyBorder="1" applyAlignment="1">
      <alignment vertical="top" wrapText="1"/>
    </xf>
    <xf numFmtId="165" fontId="24" fillId="0" borderId="28" xfId="7" applyFont="1" applyBorder="1"/>
    <xf numFmtId="165" fontId="24" fillId="0" borderId="23" xfId="7" applyFont="1" applyBorder="1" applyAlignment="1">
      <alignment horizontal="left" vertical="top" wrapText="1"/>
    </xf>
    <xf numFmtId="165" fontId="24" fillId="0" borderId="33" xfId="7" applyFont="1" applyBorder="1"/>
    <xf numFmtId="166" fontId="2" fillId="2" borderId="6" xfId="1" applyNumberFormat="1" applyFill="1" applyBorder="1" applyAlignment="1">
      <alignment horizontal="left" vertical="top" wrapText="1"/>
    </xf>
    <xf numFmtId="166" fontId="2" fillId="2" borderId="6" xfId="1" applyNumberFormat="1" applyFill="1" applyBorder="1" applyAlignment="1">
      <alignment horizontal="left" vertical="top" wrapText="1"/>
    </xf>
    <xf numFmtId="166" fontId="2" fillId="2" borderId="6" xfId="1" applyNumberFormat="1" applyFill="1" applyBorder="1" applyAlignment="1">
      <alignment horizontal="left" vertical="top" wrapText="1"/>
    </xf>
    <xf numFmtId="166" fontId="2" fillId="2" borderId="6" xfId="1" applyNumberFormat="1" applyFill="1" applyBorder="1" applyAlignment="1">
      <alignment horizontal="left" vertical="top" wrapText="1"/>
    </xf>
    <xf numFmtId="168" fontId="2" fillId="8" borderId="5" xfId="0" applyNumberFormat="1" applyFont="1" applyFill="1" applyBorder="1"/>
    <xf numFmtId="168" fontId="0" fillId="8" borderId="5" xfId="0" applyNumberFormat="1" applyFill="1" applyBorder="1"/>
    <xf numFmtId="166" fontId="2" fillId="2" borderId="6" xfId="1" applyNumberFormat="1" applyFill="1" applyBorder="1" applyAlignment="1">
      <alignment horizontal="left" vertical="top" wrapText="1"/>
    </xf>
    <xf numFmtId="166" fontId="2" fillId="2" borderId="6" xfId="1" applyNumberFormat="1" applyFill="1" applyBorder="1" applyAlignment="1">
      <alignment horizontal="left" vertical="top" wrapText="1"/>
    </xf>
    <xf numFmtId="166" fontId="2" fillId="7" borderId="3" xfId="1" applyNumberFormat="1" applyFill="1" applyBorder="1" applyAlignment="1">
      <alignment horizontal="center" wrapText="1"/>
    </xf>
    <xf numFmtId="1" fontId="2" fillId="8" borderId="6" xfId="1" applyNumberFormat="1" applyFont="1" applyFill="1" applyBorder="1" applyAlignment="1">
      <alignment horizontal="center" vertical="top" wrapText="1"/>
    </xf>
    <xf numFmtId="1" fontId="2" fillId="0" borderId="7" xfId="1" applyNumberFormat="1" applyFont="1" applyBorder="1" applyAlignment="1">
      <alignment horizontal="center" vertical="top" wrapText="1"/>
    </xf>
    <xf numFmtId="166" fontId="2" fillId="2" borderId="6" xfId="1" applyNumberFormat="1" applyFill="1" applyBorder="1" applyAlignment="1">
      <alignment horizontal="left" vertical="top" wrapText="1"/>
    </xf>
    <xf numFmtId="166" fontId="2" fillId="2" borderId="6" xfId="1" applyNumberFormat="1" applyFill="1" applyBorder="1" applyAlignment="1">
      <alignment horizontal="left" vertical="top" wrapText="1"/>
    </xf>
    <xf numFmtId="165" fontId="27" fillId="2" borderId="5" xfId="1" applyFont="1" applyFill="1" applyBorder="1" applyAlignment="1">
      <alignment horizontal="left" vertical="top"/>
    </xf>
    <xf numFmtId="165" fontId="27" fillId="2" borderId="0" xfId="1" applyFont="1" applyFill="1" applyBorder="1" applyAlignment="1">
      <alignment horizontal="left" vertical="top"/>
    </xf>
    <xf numFmtId="166" fontId="2" fillId="2" borderId="6" xfId="1" applyNumberFormat="1" applyFill="1" applyBorder="1" applyAlignment="1">
      <alignment horizontal="left" vertical="top" wrapText="1"/>
    </xf>
    <xf numFmtId="166" fontId="2" fillId="2" borderId="6" xfId="1" applyNumberFormat="1" applyFill="1" applyBorder="1" applyAlignment="1">
      <alignment horizontal="left" vertical="top" wrapText="1"/>
    </xf>
    <xf numFmtId="165" fontId="27" fillId="2" borderId="5" xfId="1" applyFont="1" applyFill="1" applyBorder="1" applyAlignment="1">
      <alignment vertical="top"/>
    </xf>
    <xf numFmtId="166" fontId="2" fillId="2" borderId="6" xfId="1" applyNumberFormat="1" applyFill="1" applyBorder="1" applyAlignment="1">
      <alignment horizontal="left" vertical="top" wrapText="1"/>
    </xf>
    <xf numFmtId="166" fontId="2" fillId="2" borderId="6" xfId="1" applyNumberFormat="1" applyFill="1" applyBorder="1" applyAlignment="1">
      <alignment horizontal="left" vertical="top" wrapText="1"/>
    </xf>
    <xf numFmtId="166" fontId="2" fillId="2" borderId="13" xfId="1" applyNumberFormat="1" applyFill="1" applyBorder="1" applyAlignment="1">
      <alignment horizontal="left" vertical="top" wrapText="1"/>
    </xf>
    <xf numFmtId="17" fontId="2" fillId="2" borderId="5" xfId="1" applyNumberFormat="1" applyFill="1" applyBorder="1" applyAlignment="1">
      <alignment horizontal="center" vertical="top" wrapText="1"/>
    </xf>
    <xf numFmtId="168" fontId="2" fillId="7" borderId="5" xfId="1" applyNumberFormat="1" applyFill="1" applyBorder="1" applyAlignment="1">
      <alignment horizontal="center" vertical="top" wrapText="1"/>
    </xf>
    <xf numFmtId="167" fontId="2" fillId="2" borderId="6" xfId="1" applyNumberFormat="1" applyFont="1" applyFill="1" applyBorder="1" applyAlignment="1">
      <alignment horizontal="left" vertical="top" wrapText="1"/>
    </xf>
    <xf numFmtId="166" fontId="15" fillId="8" borderId="5" xfId="0" applyFont="1" applyFill="1" applyBorder="1" applyAlignment="1">
      <alignment vertical="top" wrapText="1"/>
    </xf>
    <xf numFmtId="165" fontId="16" fillId="7" borderId="5" xfId="1" applyFont="1" applyFill="1" applyBorder="1" applyAlignment="1">
      <alignment vertical="top" wrapText="1"/>
    </xf>
    <xf numFmtId="17" fontId="2" fillId="7" borderId="5" xfId="1" applyNumberFormat="1" applyFill="1" applyBorder="1" applyAlignment="1">
      <alignment horizontal="center" vertical="top" wrapText="1"/>
    </xf>
    <xf numFmtId="168" fontId="2" fillId="8" borderId="5" xfId="1" applyNumberFormat="1" applyFill="1" applyBorder="1" applyAlignment="1">
      <alignment horizontal="center" vertical="top" wrapText="1"/>
    </xf>
    <xf numFmtId="166" fontId="2" fillId="2" borderId="13" xfId="1" applyNumberFormat="1" applyFont="1" applyFill="1" applyBorder="1" applyAlignment="1">
      <alignment horizontal="left" vertical="top" wrapText="1"/>
    </xf>
    <xf numFmtId="166" fontId="2" fillId="2" borderId="6" xfId="1" applyNumberFormat="1" applyFill="1" applyBorder="1" applyAlignment="1">
      <alignment horizontal="left" vertical="top" wrapText="1"/>
    </xf>
    <xf numFmtId="166" fontId="2" fillId="0" borderId="0" xfId="0" applyFont="1" applyFill="1" applyBorder="1"/>
    <xf numFmtId="166" fontId="2" fillId="2" borderId="6" xfId="1" applyNumberFormat="1" applyFill="1" applyBorder="1" applyAlignment="1">
      <alignment horizontal="left" vertical="top" wrapText="1"/>
    </xf>
    <xf numFmtId="2" fontId="2" fillId="2" borderId="5" xfId="0" applyNumberFormat="1" applyFont="1" applyFill="1" applyBorder="1" applyAlignment="1">
      <alignment vertical="top" wrapText="1"/>
    </xf>
    <xf numFmtId="166" fontId="2" fillId="2" borderId="6" xfId="1" applyNumberFormat="1" applyFill="1" applyBorder="1" applyAlignment="1">
      <alignment horizontal="left" vertical="top" wrapText="1"/>
    </xf>
    <xf numFmtId="166" fontId="2" fillId="2" borderId="6" xfId="1" applyNumberFormat="1" applyFill="1" applyBorder="1" applyAlignment="1">
      <alignment horizontal="left" vertical="top" wrapText="1"/>
    </xf>
    <xf numFmtId="165" fontId="27" fillId="0" borderId="5" xfId="1" applyFont="1" applyFill="1" applyBorder="1" applyAlignment="1">
      <alignment horizontal="left" vertical="top"/>
    </xf>
    <xf numFmtId="166" fontId="27" fillId="0" borderId="0" xfId="1" applyNumberFormat="1" applyFont="1" applyFill="1" applyBorder="1" applyAlignment="1">
      <alignment horizontal="left" vertical="top"/>
    </xf>
    <xf numFmtId="166" fontId="27" fillId="0" borderId="5" xfId="1" applyNumberFormat="1" applyFont="1" applyFill="1" applyBorder="1" applyAlignment="1">
      <alignment vertical="top"/>
    </xf>
    <xf numFmtId="166" fontId="2" fillId="2" borderId="6" xfId="1" applyNumberFormat="1" applyFill="1" applyBorder="1" applyAlignment="1">
      <alignment horizontal="left" vertical="top" wrapText="1"/>
    </xf>
    <xf numFmtId="166" fontId="2" fillId="2" borderId="6" xfId="1" applyNumberFormat="1" applyFill="1" applyBorder="1" applyAlignment="1">
      <alignment horizontal="left" vertical="top" wrapText="1"/>
    </xf>
    <xf numFmtId="166" fontId="2" fillId="2" borderId="6" xfId="1" applyNumberFormat="1" applyFill="1" applyBorder="1" applyAlignment="1">
      <alignment horizontal="left" vertical="top" wrapText="1"/>
    </xf>
    <xf numFmtId="168" fontId="0" fillId="2" borderId="5" xfId="0" applyNumberFormat="1" applyFill="1" applyBorder="1"/>
    <xf numFmtId="166" fontId="2" fillId="2" borderId="6" xfId="1" applyNumberFormat="1" applyFill="1" applyBorder="1" applyAlignment="1">
      <alignment horizontal="left" vertical="top" wrapText="1"/>
    </xf>
    <xf numFmtId="166" fontId="2" fillId="2" borderId="6" xfId="1" applyNumberFormat="1" applyFill="1" applyBorder="1" applyAlignment="1">
      <alignment horizontal="left" vertical="top" wrapText="1"/>
    </xf>
    <xf numFmtId="1" fontId="3" fillId="0" borderId="0" xfId="0" applyNumberFormat="1" applyFont="1" applyBorder="1"/>
    <xf numFmtId="2" fontId="2" fillId="0" borderId="0" xfId="0" applyNumberFormat="1" applyFont="1" applyBorder="1"/>
    <xf numFmtId="166" fontId="2" fillId="2" borderId="6" xfId="1" applyNumberFormat="1" applyFill="1" applyBorder="1" applyAlignment="1">
      <alignment horizontal="left" vertical="top" wrapText="1"/>
    </xf>
    <xf numFmtId="166" fontId="2" fillId="2" borderId="6" xfId="1" applyNumberFormat="1" applyFill="1" applyBorder="1" applyAlignment="1">
      <alignment horizontal="left" vertical="top" wrapText="1"/>
    </xf>
    <xf numFmtId="166" fontId="2" fillId="2" borderId="6" xfId="1" applyNumberFormat="1" applyFill="1" applyBorder="1" applyAlignment="1">
      <alignment horizontal="left" vertical="top" wrapText="1"/>
    </xf>
    <xf numFmtId="167" fontId="0" fillId="0" borderId="5" xfId="0" applyNumberFormat="1" applyBorder="1"/>
    <xf numFmtId="166" fontId="2" fillId="2" borderId="6" xfId="1" applyNumberFormat="1" applyFill="1" applyBorder="1" applyAlignment="1">
      <alignment horizontal="left" vertical="top" wrapText="1"/>
    </xf>
    <xf numFmtId="166" fontId="2" fillId="2" borderId="6" xfId="1" applyNumberFormat="1" applyFill="1" applyBorder="1" applyAlignment="1">
      <alignment horizontal="left" vertical="top" wrapText="1"/>
    </xf>
    <xf numFmtId="166" fontId="2" fillId="7" borderId="5" xfId="1" applyNumberFormat="1" applyFont="1" applyFill="1" applyBorder="1" applyAlignment="1">
      <alignment horizontal="left" vertical="top"/>
    </xf>
    <xf numFmtId="166" fontId="2" fillId="7" borderId="0" xfId="1" applyNumberFormat="1" applyFont="1" applyFill="1" applyBorder="1" applyAlignment="1">
      <alignment horizontal="left" vertical="top"/>
    </xf>
    <xf numFmtId="166" fontId="2" fillId="7" borderId="5" xfId="1" applyNumberFormat="1" applyFont="1" applyFill="1" applyBorder="1" applyAlignment="1">
      <alignment vertical="top"/>
    </xf>
    <xf numFmtId="2" fontId="2" fillId="7" borderId="5" xfId="1" applyNumberFormat="1" applyFont="1" applyFill="1" applyBorder="1" applyAlignment="1">
      <alignment horizontal="right" vertical="top" wrapText="1"/>
    </xf>
    <xf numFmtId="168" fontId="2" fillId="7" borderId="5" xfId="5" applyNumberFormat="1" applyFont="1" applyFill="1" applyBorder="1" applyAlignment="1">
      <alignment vertical="top" wrapText="1"/>
    </xf>
    <xf numFmtId="166" fontId="2" fillId="2" borderId="6" xfId="1" applyNumberFormat="1" applyFill="1" applyBorder="1" applyAlignment="1">
      <alignment horizontal="left" vertical="top" wrapText="1"/>
    </xf>
    <xf numFmtId="166" fontId="2" fillId="2" borderId="6" xfId="1" applyNumberFormat="1" applyFill="1" applyBorder="1" applyAlignment="1">
      <alignment horizontal="left" vertical="top" wrapText="1"/>
    </xf>
    <xf numFmtId="166" fontId="2" fillId="0" borderId="7" xfId="1" quotePrefix="1" applyNumberFormat="1" applyFont="1" applyFill="1" applyBorder="1" applyAlignment="1">
      <alignment horizontal="left" vertical="top" wrapText="1"/>
    </xf>
    <xf numFmtId="166" fontId="2" fillId="2" borderId="6" xfId="1" applyNumberFormat="1" applyFill="1" applyBorder="1" applyAlignment="1">
      <alignment horizontal="left" vertical="top" wrapText="1"/>
    </xf>
    <xf numFmtId="166" fontId="2" fillId="2" borderId="6" xfId="1" applyNumberFormat="1" applyFill="1" applyBorder="1" applyAlignment="1">
      <alignment horizontal="left" vertical="top" wrapText="1"/>
    </xf>
    <xf numFmtId="166" fontId="2" fillId="2" borderId="6" xfId="1" applyNumberFormat="1" applyFill="1" applyBorder="1" applyAlignment="1">
      <alignment horizontal="left" vertical="top" wrapText="1"/>
    </xf>
    <xf numFmtId="166" fontId="2" fillId="2" borderId="6" xfId="1" applyNumberFormat="1" applyFill="1" applyBorder="1" applyAlignment="1">
      <alignment horizontal="left" vertical="top" wrapText="1"/>
    </xf>
    <xf numFmtId="166" fontId="2" fillId="2" borderId="6" xfId="1" applyNumberFormat="1" applyFill="1" applyBorder="1" applyAlignment="1">
      <alignment horizontal="left" vertical="top" wrapText="1"/>
    </xf>
    <xf numFmtId="166" fontId="2" fillId="0" borderId="0" xfId="6" applyNumberFormat="1" applyFont="1" applyAlignment="1" applyProtection="1">
      <alignment horizontal="left" wrapText="1"/>
    </xf>
    <xf numFmtId="166" fontId="9" fillId="0" borderId="0" xfId="6" applyNumberFormat="1" applyFont="1" applyAlignment="1" applyProtection="1">
      <alignment horizontal="left" wrapText="1"/>
    </xf>
    <xf numFmtId="166" fontId="3" fillId="0" borderId="1" xfId="0" applyFont="1" applyBorder="1" applyAlignment="1">
      <alignment horizontal="center"/>
    </xf>
    <xf numFmtId="166" fontId="3" fillId="0" borderId="12" xfId="0" applyFont="1" applyBorder="1" applyAlignment="1">
      <alignment horizontal="center"/>
    </xf>
    <xf numFmtId="166" fontId="2" fillId="2" borderId="6" xfId="1" applyNumberFormat="1" applyFill="1" applyBorder="1" applyAlignment="1">
      <alignment horizontal="left" vertical="top" wrapText="1"/>
    </xf>
    <xf numFmtId="166" fontId="2" fillId="2" borderId="13" xfId="1" applyNumberFormat="1" applyFill="1" applyBorder="1" applyAlignment="1">
      <alignment horizontal="left" vertical="top" wrapText="1"/>
    </xf>
    <xf numFmtId="166" fontId="2" fillId="0" borderId="6" xfId="0" applyFont="1" applyBorder="1" applyAlignment="1">
      <alignment horizontal="left" vertical="top" wrapText="1"/>
    </xf>
    <xf numFmtId="166" fontId="2" fillId="0" borderId="13" xfId="0" applyFont="1" applyBorder="1" applyAlignment="1">
      <alignment horizontal="left" vertical="top" wrapText="1"/>
    </xf>
    <xf numFmtId="165" fontId="24" fillId="0" borderId="21" xfId="7" applyFont="1" applyBorder="1" applyAlignment="1">
      <alignment horizontal="left" vertical="top" wrapText="1"/>
    </xf>
    <xf numFmtId="165" fontId="24" fillId="0" borderId="30" xfId="7" applyFont="1" applyBorder="1" applyAlignment="1">
      <alignment horizontal="left" vertical="top" wrapText="1"/>
    </xf>
    <xf numFmtId="166" fontId="22" fillId="0" borderId="16" xfId="7" applyNumberFormat="1" applyFont="1" applyBorder="1" applyAlignment="1">
      <alignment horizontal="left" vertical="top" wrapText="1"/>
    </xf>
    <xf numFmtId="166" fontId="22" fillId="0" borderId="20" xfId="7" applyNumberFormat="1" applyFont="1" applyBorder="1" applyAlignment="1">
      <alignment horizontal="left" vertical="top" wrapText="1"/>
    </xf>
    <xf numFmtId="166" fontId="22" fillId="0" borderId="23" xfId="7" applyNumberFormat="1" applyFont="1" applyBorder="1" applyAlignment="1">
      <alignment horizontal="left" vertical="top" wrapText="1"/>
    </xf>
    <xf numFmtId="165" fontId="24" fillId="0" borderId="20" xfId="7" applyFont="1" applyBorder="1" applyAlignment="1">
      <alignment horizontal="left" vertical="center" wrapText="1"/>
    </xf>
    <xf numFmtId="165" fontId="24" fillId="0" borderId="0" xfId="7" applyFont="1" applyBorder="1" applyAlignment="1">
      <alignment horizontal="left" vertical="top" wrapText="1"/>
    </xf>
    <xf numFmtId="166" fontId="9" fillId="0" borderId="11" xfId="6" applyNumberFormat="1" applyFont="1" applyBorder="1" applyAlignment="1" applyProtection="1">
      <alignment horizontal="center" wrapText="1"/>
    </xf>
    <xf numFmtId="166" fontId="9" fillId="0" borderId="0" xfId="6" applyNumberFormat="1" applyFont="1" applyAlignment="1" applyProtection="1">
      <alignment horizontal="center" wrapText="1"/>
    </xf>
  </cellXfs>
  <cellStyles count="12">
    <cellStyle name="Comma 2" xfId="2" xr:uid="{00000000-0005-0000-0000-000000000000}"/>
    <cellStyle name="Hyperlink" xfId="6" builtinId="8"/>
    <cellStyle name="Normal" xfId="0" builtinId="0"/>
    <cellStyle name="Normal 2" xfId="1" xr:uid="{00000000-0005-0000-0000-000003000000}"/>
    <cellStyle name="Normal 2 2" xfId="5" xr:uid="{00000000-0005-0000-0000-000004000000}"/>
    <cellStyle name="Normal 3" xfId="7" xr:uid="{00000000-0005-0000-0000-000005000000}"/>
    <cellStyle name="Normal 4" xfId="8" xr:uid="{00000000-0005-0000-0000-000006000000}"/>
    <cellStyle name="Normal 4 2" xfId="9" xr:uid="{00000000-0005-0000-0000-000007000000}"/>
    <cellStyle name="Normal 5" xfId="10" xr:uid="{00000000-0005-0000-0000-000008000000}"/>
    <cellStyle name="Normal 6" xfId="11" xr:uid="{00000000-0005-0000-0000-000009000000}"/>
    <cellStyle name="Note 2" xfId="3" xr:uid="{00000000-0005-0000-0000-00000A000000}"/>
    <cellStyle name="Percent 2" xfId="4" xr:uid="{00000000-0005-0000-0000-00000B000000}"/>
  </cellStyles>
  <dxfs count="50">
    <dxf>
      <font>
        <condense val="0"/>
        <extend val="0"/>
        <color rgb="FF9C0006"/>
      </font>
    </dxf>
    <dxf>
      <font>
        <condense val="0"/>
        <extend val="0"/>
        <color rgb="FF006100"/>
      </font>
      <fill>
        <patternFill>
          <bgColor rgb="FFC6EFCE"/>
        </patternFill>
      </fill>
    </dxf>
    <dxf>
      <font>
        <condense val="0"/>
        <extend val="0"/>
        <color rgb="FF006100"/>
      </font>
      <fill>
        <patternFill>
          <bgColor rgb="FFC6EFCE"/>
        </patternFill>
      </fill>
    </dxf>
    <dxf>
      <font>
        <color rgb="FFFF0000"/>
      </font>
    </dxf>
    <dxf>
      <border>
        <left style="thin">
          <color rgb="FF9C0006"/>
        </left>
        <right style="thin">
          <color rgb="FF9C0006"/>
        </right>
        <top style="thin">
          <color rgb="FF9C0006"/>
        </top>
        <bottom style="thin">
          <color rgb="FF9C0006"/>
        </bottom>
        <vertical/>
        <horizontal/>
      </border>
    </dxf>
    <dxf>
      <font>
        <condense val="0"/>
        <extend val="0"/>
        <color rgb="FF9C0006"/>
      </font>
    </dxf>
    <dxf>
      <font>
        <condense val="0"/>
        <extend val="0"/>
        <color rgb="FF006100"/>
      </font>
      <fill>
        <patternFill>
          <bgColor rgb="FFC6EFCE"/>
        </patternFill>
      </fill>
    </dxf>
    <dxf>
      <font>
        <condense val="0"/>
        <extend val="0"/>
        <color rgb="FF006100"/>
      </font>
      <fill>
        <patternFill>
          <bgColor rgb="FFC6EFCE"/>
        </patternFill>
      </fill>
    </dxf>
    <dxf>
      <font>
        <color rgb="FFFF0000"/>
      </font>
    </dxf>
    <dxf>
      <border>
        <left style="thin">
          <color rgb="FF9C0006"/>
        </left>
        <right style="thin">
          <color rgb="FF9C0006"/>
        </right>
        <top style="thin">
          <color rgb="FF9C0006"/>
        </top>
        <bottom style="thin">
          <color rgb="FF9C0006"/>
        </bottom>
        <vertical/>
        <horizontal/>
      </border>
    </dxf>
    <dxf>
      <font>
        <condense val="0"/>
        <extend val="0"/>
        <color rgb="FF9C0006"/>
      </font>
    </dxf>
    <dxf>
      <font>
        <condense val="0"/>
        <extend val="0"/>
        <color rgb="FF006100"/>
      </font>
      <fill>
        <patternFill>
          <bgColor rgb="FFC6EFCE"/>
        </patternFill>
      </fill>
    </dxf>
    <dxf>
      <font>
        <condense val="0"/>
        <extend val="0"/>
        <color rgb="FF006100"/>
      </font>
      <fill>
        <patternFill>
          <bgColor rgb="FFC6EFCE"/>
        </patternFill>
      </fill>
    </dxf>
    <dxf>
      <font>
        <color rgb="FFFF0000"/>
      </font>
    </dxf>
    <dxf>
      <border>
        <left style="thin">
          <color rgb="FF9C0006"/>
        </left>
        <right style="thin">
          <color rgb="FF9C0006"/>
        </right>
        <top style="thin">
          <color rgb="FF9C0006"/>
        </top>
        <bottom style="thin">
          <color rgb="FF9C0006"/>
        </bottom>
        <vertical/>
        <horizontal/>
      </border>
    </dxf>
    <dxf>
      <font>
        <condense val="0"/>
        <extend val="0"/>
        <color rgb="FF9C0006"/>
      </font>
    </dxf>
    <dxf>
      <font>
        <condense val="0"/>
        <extend val="0"/>
        <color rgb="FF006100"/>
      </font>
      <fill>
        <patternFill>
          <bgColor rgb="FFC6EFCE"/>
        </patternFill>
      </fill>
    </dxf>
    <dxf>
      <font>
        <condense val="0"/>
        <extend val="0"/>
        <color rgb="FF006100"/>
      </font>
      <fill>
        <patternFill>
          <bgColor rgb="FFC6EFCE"/>
        </patternFill>
      </fill>
    </dxf>
    <dxf>
      <font>
        <color rgb="FFFF0000"/>
      </font>
    </dxf>
    <dxf>
      <border>
        <left style="thin">
          <color rgb="FF9C0006"/>
        </left>
        <right style="thin">
          <color rgb="FF9C0006"/>
        </right>
        <top style="thin">
          <color rgb="FF9C0006"/>
        </top>
        <bottom style="thin">
          <color rgb="FF9C0006"/>
        </bottom>
        <vertical/>
        <horizontal/>
      </border>
    </dxf>
    <dxf>
      <font>
        <condense val="0"/>
        <extend val="0"/>
        <color rgb="FF9C0006"/>
      </font>
    </dxf>
    <dxf>
      <font>
        <condense val="0"/>
        <extend val="0"/>
        <color rgb="FF006100"/>
      </font>
      <fill>
        <patternFill>
          <bgColor rgb="FFC6EFCE"/>
        </patternFill>
      </fill>
    </dxf>
    <dxf>
      <font>
        <condense val="0"/>
        <extend val="0"/>
        <color rgb="FF006100"/>
      </font>
      <fill>
        <patternFill>
          <bgColor rgb="FFC6EFCE"/>
        </patternFill>
      </fill>
    </dxf>
    <dxf>
      <font>
        <color rgb="FFFF0000"/>
      </font>
    </dxf>
    <dxf>
      <border>
        <left style="thin">
          <color rgb="FF9C0006"/>
        </left>
        <right style="thin">
          <color rgb="FF9C0006"/>
        </right>
        <top style="thin">
          <color rgb="FF9C0006"/>
        </top>
        <bottom style="thin">
          <color rgb="FF9C0006"/>
        </bottom>
        <vertical/>
        <horizontal/>
      </border>
    </dxf>
    <dxf>
      <font>
        <condense val="0"/>
        <extend val="0"/>
        <color rgb="FF9C0006"/>
      </font>
    </dxf>
    <dxf>
      <font>
        <condense val="0"/>
        <extend val="0"/>
        <color rgb="FF006100"/>
      </font>
      <fill>
        <patternFill>
          <bgColor rgb="FFC6EFCE"/>
        </patternFill>
      </fill>
    </dxf>
    <dxf>
      <font>
        <condense val="0"/>
        <extend val="0"/>
        <color rgb="FF006100"/>
      </font>
      <fill>
        <patternFill>
          <bgColor rgb="FFC6EFCE"/>
        </patternFill>
      </fill>
    </dxf>
    <dxf>
      <font>
        <color rgb="FFFF0000"/>
      </font>
    </dxf>
    <dxf>
      <border>
        <left style="thin">
          <color rgb="FF9C0006"/>
        </left>
        <right style="thin">
          <color rgb="FF9C0006"/>
        </right>
        <top style="thin">
          <color rgb="FF9C0006"/>
        </top>
        <bottom style="thin">
          <color rgb="FF9C0006"/>
        </bottom>
        <vertical/>
        <horizontal/>
      </border>
    </dxf>
    <dxf>
      <font>
        <condense val="0"/>
        <extend val="0"/>
        <color rgb="FF9C0006"/>
      </font>
    </dxf>
    <dxf>
      <font>
        <condense val="0"/>
        <extend val="0"/>
        <color rgb="FF006100"/>
      </font>
      <fill>
        <patternFill>
          <bgColor rgb="FFC6EFCE"/>
        </patternFill>
      </fill>
    </dxf>
    <dxf>
      <font>
        <condense val="0"/>
        <extend val="0"/>
        <color rgb="FF006100"/>
      </font>
      <fill>
        <patternFill>
          <bgColor rgb="FFC6EFCE"/>
        </patternFill>
      </fill>
    </dxf>
    <dxf>
      <font>
        <color rgb="FFFF0000"/>
      </font>
    </dxf>
    <dxf>
      <border>
        <left style="thin">
          <color rgb="FF9C0006"/>
        </left>
        <right style="thin">
          <color rgb="FF9C0006"/>
        </right>
        <top style="thin">
          <color rgb="FF9C0006"/>
        </top>
        <bottom style="thin">
          <color rgb="FF9C0006"/>
        </bottom>
        <vertical/>
        <horizontal/>
      </border>
    </dxf>
    <dxf>
      <font>
        <condense val="0"/>
        <extend val="0"/>
        <color rgb="FF9C0006"/>
      </font>
    </dxf>
    <dxf>
      <font>
        <condense val="0"/>
        <extend val="0"/>
        <color rgb="FF006100"/>
      </font>
      <fill>
        <patternFill>
          <bgColor rgb="FFC6EFCE"/>
        </patternFill>
      </fill>
    </dxf>
    <dxf>
      <font>
        <condense val="0"/>
        <extend val="0"/>
        <color rgb="FF006100"/>
      </font>
      <fill>
        <patternFill>
          <bgColor rgb="FFC6EFCE"/>
        </patternFill>
      </fill>
    </dxf>
    <dxf>
      <font>
        <color rgb="FFFF0000"/>
      </font>
    </dxf>
    <dxf>
      <border>
        <left style="thin">
          <color rgb="FF9C0006"/>
        </left>
        <right style="thin">
          <color rgb="FF9C0006"/>
        </right>
        <top style="thin">
          <color rgb="FF9C0006"/>
        </top>
        <bottom style="thin">
          <color rgb="FF9C0006"/>
        </bottom>
        <vertical/>
        <horizontal/>
      </border>
    </dxf>
    <dxf>
      <font>
        <condense val="0"/>
        <extend val="0"/>
        <color rgb="FF9C0006"/>
      </font>
    </dxf>
    <dxf>
      <font>
        <condense val="0"/>
        <extend val="0"/>
        <color rgb="FF006100"/>
      </font>
      <fill>
        <patternFill>
          <bgColor rgb="FFC6EFCE"/>
        </patternFill>
      </fill>
    </dxf>
    <dxf>
      <font>
        <condense val="0"/>
        <extend val="0"/>
        <color rgb="FF006100"/>
      </font>
      <fill>
        <patternFill>
          <bgColor rgb="FFC6EFCE"/>
        </patternFill>
      </fill>
    </dxf>
    <dxf>
      <font>
        <color rgb="FFFF0000"/>
      </font>
    </dxf>
    <dxf>
      <border>
        <left style="thin">
          <color rgb="FF9C0006"/>
        </left>
        <right style="thin">
          <color rgb="FF9C0006"/>
        </right>
        <top style="thin">
          <color rgb="FF9C0006"/>
        </top>
        <bottom style="thin">
          <color rgb="FF9C0006"/>
        </bottom>
        <vertical/>
        <horizontal/>
      </border>
    </dxf>
    <dxf>
      <font>
        <condense val="0"/>
        <extend val="0"/>
        <color rgb="FF9C0006"/>
      </font>
    </dxf>
    <dxf>
      <font>
        <condense val="0"/>
        <extend val="0"/>
        <color rgb="FF006100"/>
      </font>
      <fill>
        <patternFill>
          <bgColor rgb="FFC6EFCE"/>
        </patternFill>
      </fill>
    </dxf>
    <dxf>
      <font>
        <condense val="0"/>
        <extend val="0"/>
        <color rgb="FF006100"/>
      </font>
      <fill>
        <patternFill>
          <bgColor rgb="FFC6EFCE"/>
        </patternFill>
      </fill>
    </dxf>
    <dxf>
      <font>
        <color rgb="FFFF0000"/>
      </font>
    </dxf>
    <dxf>
      <border>
        <left style="thin">
          <color rgb="FF9C0006"/>
        </left>
        <right style="thin">
          <color rgb="FF9C0006"/>
        </right>
        <top style="thin">
          <color rgb="FF9C0006"/>
        </top>
        <bottom style="thin">
          <color rgb="FF9C0006"/>
        </bottom>
        <vertical/>
        <horizontal/>
      </border>
    </dxf>
  </dxfs>
  <tableStyles count="0" defaultTableStyle="TableStyleMedium9" defaultPivotStyle="PivotStyleLight16"/>
  <colors>
    <mruColors>
      <color rgb="FFB4C22C"/>
      <color rgb="FFFF0000"/>
      <color rgb="FF0000FF"/>
      <color rgb="FF33CC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Number of new NAMAs submitted each month</a:t>
            </a:r>
          </a:p>
        </c:rich>
      </c:tx>
      <c:overlay val="0"/>
    </c:title>
    <c:autoTitleDeleted val="0"/>
    <c:plotArea>
      <c:layout/>
      <c:barChart>
        <c:barDir val="col"/>
        <c:grouping val="clustered"/>
        <c:varyColors val="0"/>
        <c:ser>
          <c:idx val="0"/>
          <c:order val="0"/>
          <c:invertIfNegative val="0"/>
          <c:cat>
            <c:numRef>
              <c:f>Time!$J$1:$DK$1</c:f>
              <c:numCache>
                <c:formatCode>mmm\-yy</c:formatCode>
                <c:ptCount val="106"/>
                <c:pt idx="0">
                  <c:v>41153</c:v>
                </c:pt>
                <c:pt idx="1">
                  <c:v>41183</c:v>
                </c:pt>
                <c:pt idx="2">
                  <c:v>41214</c:v>
                </c:pt>
                <c:pt idx="3">
                  <c:v>41244</c:v>
                </c:pt>
                <c:pt idx="4">
                  <c:v>41275</c:v>
                </c:pt>
                <c:pt idx="5">
                  <c:v>41306</c:v>
                </c:pt>
                <c:pt idx="6">
                  <c:v>41334</c:v>
                </c:pt>
                <c:pt idx="7">
                  <c:v>41365</c:v>
                </c:pt>
                <c:pt idx="8">
                  <c:v>41395</c:v>
                </c:pt>
                <c:pt idx="9">
                  <c:v>41426</c:v>
                </c:pt>
                <c:pt idx="10">
                  <c:v>41456</c:v>
                </c:pt>
                <c:pt idx="11">
                  <c:v>41487</c:v>
                </c:pt>
                <c:pt idx="12">
                  <c:v>41518</c:v>
                </c:pt>
                <c:pt idx="13">
                  <c:v>41548</c:v>
                </c:pt>
                <c:pt idx="14">
                  <c:v>41579</c:v>
                </c:pt>
                <c:pt idx="15">
                  <c:v>41609</c:v>
                </c:pt>
                <c:pt idx="16">
                  <c:v>41640</c:v>
                </c:pt>
                <c:pt idx="17">
                  <c:v>41671</c:v>
                </c:pt>
                <c:pt idx="18">
                  <c:v>41699</c:v>
                </c:pt>
                <c:pt idx="19">
                  <c:v>41730</c:v>
                </c:pt>
                <c:pt idx="20">
                  <c:v>41760</c:v>
                </c:pt>
                <c:pt idx="21">
                  <c:v>41791</c:v>
                </c:pt>
                <c:pt idx="22">
                  <c:v>41821</c:v>
                </c:pt>
                <c:pt idx="23">
                  <c:v>41852</c:v>
                </c:pt>
                <c:pt idx="24">
                  <c:v>41883</c:v>
                </c:pt>
                <c:pt idx="25">
                  <c:v>41913</c:v>
                </c:pt>
                <c:pt idx="26">
                  <c:v>41944</c:v>
                </c:pt>
                <c:pt idx="27">
                  <c:v>41974</c:v>
                </c:pt>
                <c:pt idx="28">
                  <c:v>42005</c:v>
                </c:pt>
                <c:pt idx="29">
                  <c:v>42036</c:v>
                </c:pt>
                <c:pt idx="30">
                  <c:v>42064</c:v>
                </c:pt>
                <c:pt idx="31">
                  <c:v>42095</c:v>
                </c:pt>
                <c:pt idx="32">
                  <c:v>42125</c:v>
                </c:pt>
                <c:pt idx="33">
                  <c:v>42156</c:v>
                </c:pt>
                <c:pt idx="34">
                  <c:v>42186</c:v>
                </c:pt>
                <c:pt idx="35">
                  <c:v>42217</c:v>
                </c:pt>
                <c:pt idx="36">
                  <c:v>42248</c:v>
                </c:pt>
                <c:pt idx="37">
                  <c:v>42278</c:v>
                </c:pt>
                <c:pt idx="38">
                  <c:v>42309</c:v>
                </c:pt>
                <c:pt idx="39">
                  <c:v>42339</c:v>
                </c:pt>
                <c:pt idx="40">
                  <c:v>42370</c:v>
                </c:pt>
                <c:pt idx="41">
                  <c:v>42401</c:v>
                </c:pt>
                <c:pt idx="42">
                  <c:v>42430</c:v>
                </c:pt>
                <c:pt idx="43">
                  <c:v>42461</c:v>
                </c:pt>
                <c:pt idx="44">
                  <c:v>42491</c:v>
                </c:pt>
                <c:pt idx="45">
                  <c:v>42522</c:v>
                </c:pt>
                <c:pt idx="46">
                  <c:v>42552</c:v>
                </c:pt>
                <c:pt idx="47">
                  <c:v>42583</c:v>
                </c:pt>
                <c:pt idx="48">
                  <c:v>42614</c:v>
                </c:pt>
                <c:pt idx="49">
                  <c:v>42644</c:v>
                </c:pt>
                <c:pt idx="50">
                  <c:v>42675</c:v>
                </c:pt>
                <c:pt idx="51">
                  <c:v>42705</c:v>
                </c:pt>
                <c:pt idx="52">
                  <c:v>42736</c:v>
                </c:pt>
                <c:pt idx="53">
                  <c:v>42767</c:v>
                </c:pt>
                <c:pt idx="54">
                  <c:v>42795</c:v>
                </c:pt>
                <c:pt idx="55">
                  <c:v>42826</c:v>
                </c:pt>
                <c:pt idx="56">
                  <c:v>42856</c:v>
                </c:pt>
                <c:pt idx="57">
                  <c:v>42887</c:v>
                </c:pt>
                <c:pt idx="58">
                  <c:v>42917</c:v>
                </c:pt>
                <c:pt idx="59">
                  <c:v>42948</c:v>
                </c:pt>
                <c:pt idx="60">
                  <c:v>42979</c:v>
                </c:pt>
                <c:pt idx="61">
                  <c:v>43009</c:v>
                </c:pt>
                <c:pt idx="62">
                  <c:v>43040</c:v>
                </c:pt>
                <c:pt idx="63">
                  <c:v>43070</c:v>
                </c:pt>
                <c:pt idx="64">
                  <c:v>43101</c:v>
                </c:pt>
                <c:pt idx="65">
                  <c:v>43132</c:v>
                </c:pt>
                <c:pt idx="66">
                  <c:v>43160</c:v>
                </c:pt>
                <c:pt idx="67">
                  <c:v>43191</c:v>
                </c:pt>
                <c:pt idx="68">
                  <c:v>43221</c:v>
                </c:pt>
                <c:pt idx="69">
                  <c:v>43252</c:v>
                </c:pt>
                <c:pt idx="70">
                  <c:v>43282</c:v>
                </c:pt>
                <c:pt idx="71">
                  <c:v>43313</c:v>
                </c:pt>
                <c:pt idx="72">
                  <c:v>43344</c:v>
                </c:pt>
                <c:pt idx="73">
                  <c:v>43374</c:v>
                </c:pt>
                <c:pt idx="74">
                  <c:v>43405</c:v>
                </c:pt>
                <c:pt idx="75">
                  <c:v>43435</c:v>
                </c:pt>
                <c:pt idx="76">
                  <c:v>43466</c:v>
                </c:pt>
                <c:pt idx="77">
                  <c:v>43497</c:v>
                </c:pt>
                <c:pt idx="78">
                  <c:v>43525</c:v>
                </c:pt>
                <c:pt idx="79">
                  <c:v>43556</c:v>
                </c:pt>
                <c:pt idx="80">
                  <c:v>43586</c:v>
                </c:pt>
                <c:pt idx="81">
                  <c:v>43617</c:v>
                </c:pt>
                <c:pt idx="82">
                  <c:v>43647</c:v>
                </c:pt>
                <c:pt idx="83">
                  <c:v>43678</c:v>
                </c:pt>
                <c:pt idx="84">
                  <c:v>43709</c:v>
                </c:pt>
                <c:pt idx="85">
                  <c:v>43739</c:v>
                </c:pt>
                <c:pt idx="86">
                  <c:v>43770</c:v>
                </c:pt>
                <c:pt idx="87">
                  <c:v>43800</c:v>
                </c:pt>
                <c:pt idx="88">
                  <c:v>43831</c:v>
                </c:pt>
                <c:pt idx="89">
                  <c:v>43862</c:v>
                </c:pt>
                <c:pt idx="90">
                  <c:v>43891</c:v>
                </c:pt>
                <c:pt idx="91">
                  <c:v>43922</c:v>
                </c:pt>
                <c:pt idx="92">
                  <c:v>43952</c:v>
                </c:pt>
                <c:pt idx="93">
                  <c:v>43983</c:v>
                </c:pt>
                <c:pt idx="94">
                  <c:v>44013</c:v>
                </c:pt>
                <c:pt idx="95">
                  <c:v>44044</c:v>
                </c:pt>
                <c:pt idx="96">
                  <c:v>44075</c:v>
                </c:pt>
                <c:pt idx="97">
                  <c:v>44105</c:v>
                </c:pt>
                <c:pt idx="98">
                  <c:v>44136</c:v>
                </c:pt>
                <c:pt idx="99">
                  <c:v>44166</c:v>
                </c:pt>
                <c:pt idx="100">
                  <c:v>44197</c:v>
                </c:pt>
                <c:pt idx="101">
                  <c:v>44228</c:v>
                </c:pt>
                <c:pt idx="102">
                  <c:v>44256</c:v>
                </c:pt>
                <c:pt idx="103">
                  <c:v>44287</c:v>
                </c:pt>
                <c:pt idx="104">
                  <c:v>44317</c:v>
                </c:pt>
                <c:pt idx="105">
                  <c:v>44348</c:v>
                </c:pt>
              </c:numCache>
            </c:numRef>
          </c:cat>
          <c:val>
            <c:numRef>
              <c:f>Time!$J$2:$DK$2</c:f>
              <c:numCache>
                <c:formatCode>0</c:formatCode>
                <c:ptCount val="106"/>
                <c:pt idx="0">
                  <c:v>2</c:v>
                </c:pt>
                <c:pt idx="1">
                  <c:v>1</c:v>
                </c:pt>
                <c:pt idx="2">
                  <c:v>7</c:v>
                </c:pt>
                <c:pt idx="3">
                  <c:v>1</c:v>
                </c:pt>
                <c:pt idx="4">
                  <c:v>1</c:v>
                </c:pt>
                <c:pt idx="6">
                  <c:v>2</c:v>
                </c:pt>
                <c:pt idx="7">
                  <c:v>14</c:v>
                </c:pt>
                <c:pt idx="9">
                  <c:v>9</c:v>
                </c:pt>
                <c:pt idx="14">
                  <c:v>2</c:v>
                </c:pt>
                <c:pt idx="17">
                  <c:v>1</c:v>
                </c:pt>
                <c:pt idx="18">
                  <c:v>2</c:v>
                </c:pt>
                <c:pt idx="19">
                  <c:v>1</c:v>
                </c:pt>
                <c:pt idx="20">
                  <c:v>2</c:v>
                </c:pt>
                <c:pt idx="21">
                  <c:v>2</c:v>
                </c:pt>
                <c:pt idx="23">
                  <c:v>2</c:v>
                </c:pt>
                <c:pt idx="24">
                  <c:v>1</c:v>
                </c:pt>
                <c:pt idx="25">
                  <c:v>9</c:v>
                </c:pt>
                <c:pt idx="26">
                  <c:v>4</c:v>
                </c:pt>
                <c:pt idx="27">
                  <c:v>19</c:v>
                </c:pt>
                <c:pt idx="28">
                  <c:v>4</c:v>
                </c:pt>
                <c:pt idx="31">
                  <c:v>1</c:v>
                </c:pt>
                <c:pt idx="33">
                  <c:v>7</c:v>
                </c:pt>
                <c:pt idx="34">
                  <c:v>3</c:v>
                </c:pt>
                <c:pt idx="35">
                  <c:v>2</c:v>
                </c:pt>
                <c:pt idx="37">
                  <c:v>13</c:v>
                </c:pt>
                <c:pt idx="38">
                  <c:v>6</c:v>
                </c:pt>
                <c:pt idx="39">
                  <c:v>3</c:v>
                </c:pt>
                <c:pt idx="40">
                  <c:v>3</c:v>
                </c:pt>
                <c:pt idx="41">
                  <c:v>3</c:v>
                </c:pt>
                <c:pt idx="42">
                  <c:v>1</c:v>
                </c:pt>
                <c:pt idx="43">
                  <c:v>1</c:v>
                </c:pt>
                <c:pt idx="44">
                  <c:v>5</c:v>
                </c:pt>
                <c:pt idx="46">
                  <c:v>2</c:v>
                </c:pt>
                <c:pt idx="47">
                  <c:v>1</c:v>
                </c:pt>
                <c:pt idx="48">
                  <c:v>1</c:v>
                </c:pt>
                <c:pt idx="49">
                  <c:v>1</c:v>
                </c:pt>
                <c:pt idx="50">
                  <c:v>1</c:v>
                </c:pt>
                <c:pt idx="53">
                  <c:v>1</c:v>
                </c:pt>
                <c:pt idx="54">
                  <c:v>4</c:v>
                </c:pt>
                <c:pt idx="58">
                  <c:v>2</c:v>
                </c:pt>
                <c:pt idx="60">
                  <c:v>1</c:v>
                </c:pt>
                <c:pt idx="64">
                  <c:v>16</c:v>
                </c:pt>
                <c:pt idx="65">
                  <c:v>2</c:v>
                </c:pt>
                <c:pt idx="66">
                  <c:v>2</c:v>
                </c:pt>
                <c:pt idx="72">
                  <c:v>1</c:v>
                </c:pt>
                <c:pt idx="73">
                  <c:v>2</c:v>
                </c:pt>
                <c:pt idx="76">
                  <c:v>2</c:v>
                </c:pt>
                <c:pt idx="77">
                  <c:v>1</c:v>
                </c:pt>
                <c:pt idx="78">
                  <c:v>1</c:v>
                </c:pt>
                <c:pt idx="80">
                  <c:v>1</c:v>
                </c:pt>
                <c:pt idx="82">
                  <c:v>1</c:v>
                </c:pt>
                <c:pt idx="84">
                  <c:v>6</c:v>
                </c:pt>
                <c:pt idx="85">
                  <c:v>1</c:v>
                </c:pt>
                <c:pt idx="90">
                  <c:v>1</c:v>
                </c:pt>
                <c:pt idx="91">
                  <c:v>1</c:v>
                </c:pt>
                <c:pt idx="95">
                  <c:v>2</c:v>
                </c:pt>
                <c:pt idx="96">
                  <c:v>1</c:v>
                </c:pt>
                <c:pt idx="97">
                  <c:v>1</c:v>
                </c:pt>
                <c:pt idx="100">
                  <c:v>1</c:v>
                </c:pt>
                <c:pt idx="101">
                  <c:v>1</c:v>
                </c:pt>
                <c:pt idx="103">
                  <c:v>1</c:v>
                </c:pt>
              </c:numCache>
            </c:numRef>
          </c:val>
          <c:extLst>
            <c:ext xmlns:c16="http://schemas.microsoft.com/office/drawing/2014/chart" uri="{C3380CC4-5D6E-409C-BE32-E72D297353CC}">
              <c16:uniqueId val="{00000000-2348-4C4A-85DA-911CAAED3FAC}"/>
            </c:ext>
          </c:extLst>
        </c:ser>
        <c:dLbls>
          <c:showLegendKey val="0"/>
          <c:showVal val="0"/>
          <c:showCatName val="0"/>
          <c:showSerName val="0"/>
          <c:showPercent val="0"/>
          <c:showBubbleSize val="0"/>
        </c:dLbls>
        <c:gapWidth val="150"/>
        <c:axId val="190091648"/>
        <c:axId val="190093952"/>
      </c:barChart>
      <c:dateAx>
        <c:axId val="190091648"/>
        <c:scaling>
          <c:orientation val="minMax"/>
          <c:max val="44228"/>
        </c:scaling>
        <c:delete val="0"/>
        <c:axPos val="b"/>
        <c:numFmt formatCode="mmm\-yy" sourceLinked="1"/>
        <c:majorTickMark val="out"/>
        <c:minorTickMark val="none"/>
        <c:tickLblPos val="nextTo"/>
        <c:crossAx val="190093952"/>
        <c:crosses val="autoZero"/>
        <c:auto val="1"/>
        <c:lblOffset val="100"/>
        <c:baseTimeUnit val="months"/>
        <c:majorUnit val="2"/>
        <c:majorTimeUnit val="months"/>
      </c:dateAx>
      <c:valAx>
        <c:axId val="190093952"/>
        <c:scaling>
          <c:orientation val="minMax"/>
        </c:scaling>
        <c:delete val="0"/>
        <c:axPos val="l"/>
        <c:majorGridlines/>
        <c:title>
          <c:tx>
            <c:rich>
              <a:bodyPr rot="-5400000" vert="horz"/>
              <a:lstStyle/>
              <a:p>
                <a:pPr>
                  <a:defRPr sz="1000" b="1">
                    <a:latin typeface="+mn-lt"/>
                  </a:defRPr>
                </a:pPr>
                <a:r>
                  <a:rPr lang="da-DK" sz="1000" b="1">
                    <a:latin typeface="+mn-lt"/>
                  </a:rPr>
                  <a:t>Number of new NAMAs</a:t>
                </a:r>
              </a:p>
            </c:rich>
          </c:tx>
          <c:layout>
            <c:manualLayout>
              <c:xMode val="edge"/>
              <c:yMode val="edge"/>
              <c:x val="2.6502267869443416E-2"/>
              <c:y val="0.33391967115363691"/>
            </c:manualLayout>
          </c:layout>
          <c:overlay val="0"/>
        </c:title>
        <c:numFmt formatCode="0" sourceLinked="1"/>
        <c:majorTickMark val="out"/>
        <c:minorTickMark val="none"/>
        <c:tickLblPos val="nextTo"/>
        <c:crossAx val="190091648"/>
        <c:crosses val="autoZero"/>
        <c:crossBetween val="between"/>
      </c:valAx>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119902</xdr:colOff>
      <xdr:row>2</xdr:row>
      <xdr:rowOff>57150</xdr:rowOff>
    </xdr:from>
    <xdr:to>
      <xdr:col>6</xdr:col>
      <xdr:colOff>504825</xdr:colOff>
      <xdr:row>20</xdr:row>
      <xdr:rowOff>76199</xdr:rowOff>
    </xdr:to>
    <xdr:graphicFrame macro="">
      <xdr:nvGraphicFramePr>
        <xdr:cNvPr id="2" name="Chart 1">
          <a:extLst>
            <a:ext uri="{FF2B5EF4-FFF2-40B4-BE49-F238E27FC236}">
              <a16:creationId xmlns:a16="http://schemas.microsoft.com/office/drawing/2014/main" id="{00000000-0008-0000-02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www.nama-facility.org/fileadmin/user_upload/pdf/Costa_Rica_NAMA_Coffee_-_VARSOVIA.pdf" TargetMode="External"/><Relationship Id="rId3" Type="http://schemas.openxmlformats.org/officeDocument/2006/relationships/hyperlink" Target="http://www.merz.gov.rs/en" TargetMode="External"/><Relationship Id="rId7" Type="http://schemas.openxmlformats.org/officeDocument/2006/relationships/hyperlink" Target="http://www.nama-facility.org/fileadmin/user_upload/pdf/NAMA_Facility_factsheet_Mexico.pdf" TargetMode="External"/><Relationship Id="rId2" Type="http://schemas.openxmlformats.org/officeDocument/2006/relationships/hyperlink" Target="http://cook-islands.gov.ck/docs/renewableenergy/Cook%20Islands%20Renewable%20Energy%20Chart%20Final%20April%202012.pdf" TargetMode="External"/><Relationship Id="rId1" Type="http://schemas.openxmlformats.org/officeDocument/2006/relationships/hyperlink" Target="http://unfccc.int/cooperation_support/nama/items/6945.php" TargetMode="External"/><Relationship Id="rId6" Type="http://schemas.openxmlformats.org/officeDocument/2006/relationships/hyperlink" Target="http://www.merz.gov.rs/en" TargetMode="External"/><Relationship Id="rId11" Type="http://schemas.openxmlformats.org/officeDocument/2006/relationships/comments" Target="../comments1.xml"/><Relationship Id="rId5" Type="http://schemas.openxmlformats.org/officeDocument/2006/relationships/hyperlink" Target="http://www.merz.gov.rs/en" TargetMode="External"/><Relationship Id="rId10" Type="http://schemas.openxmlformats.org/officeDocument/2006/relationships/vmlDrawing" Target="../drawings/vmlDrawing1.vml"/><Relationship Id="rId4" Type="http://schemas.openxmlformats.org/officeDocument/2006/relationships/hyperlink" Target="http://www.merz.gov.rs/en" TargetMode="External"/><Relationship Id="rId9" Type="http://schemas.openxmlformats.org/officeDocument/2006/relationships/hyperlink" Target="http://www.nama-facility.org/fileadmin/user_upload/pdf/Indonesia_Presentation_Warsawa_UNFCCC-NAMA_Facility_MoT_of_Indonesia.pdf" TargetMode="External"/></Relationships>
</file>

<file path=xl/worksheets/_rels/sheet2.xml.rels><?xml version="1.0" encoding="UTF-8" standalone="yes"?>
<Relationships xmlns="http://schemas.openxmlformats.org/package/2006/relationships"><Relationship Id="rId8" Type="http://schemas.openxmlformats.org/officeDocument/2006/relationships/vmlDrawing" Target="../drawings/vmlDrawing2.vml"/><Relationship Id="rId3" Type="http://schemas.openxmlformats.org/officeDocument/2006/relationships/hyperlink" Target="http://www.giz.de/Themen/en/26097.htm" TargetMode="External"/><Relationship Id="rId7" Type="http://schemas.openxmlformats.org/officeDocument/2006/relationships/hyperlink" Target="http://www.jica.go.jp/english/our_work/types_of_assistance/partnership/index.html" TargetMode="External"/><Relationship Id="rId2" Type="http://schemas.openxmlformats.org/officeDocument/2006/relationships/hyperlink" Target="http://www.international-climate-initiative.com/en/nc/projects/projects/" TargetMode="External"/><Relationship Id="rId1" Type="http://schemas.openxmlformats.org/officeDocument/2006/relationships/hyperlink" Target="http://unfccc.int/cooperation_support/nama/items/6945.php" TargetMode="External"/><Relationship Id="rId6" Type="http://schemas.openxmlformats.org/officeDocument/2006/relationships/hyperlink" Target="http://www.international-climate-initiative.com/en/issues/nama-facility/" TargetMode="External"/><Relationship Id="rId5" Type="http://schemas.openxmlformats.org/officeDocument/2006/relationships/hyperlink" Target="http://www.eu-africa-infrastructure-tf.net/about/FAQ/index.htm" TargetMode="External"/><Relationship Id="rId4" Type="http://schemas.openxmlformats.org/officeDocument/2006/relationships/hyperlink" Target="http://www.thegef.org/gef/guidelines/" TargetMode="External"/><Relationship Id="rId9"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3" Type="http://schemas.openxmlformats.org/officeDocument/2006/relationships/hyperlink" Target="http://unfccc.int/cooperation_support/nama/items/6945.php" TargetMode="External"/><Relationship Id="rId2" Type="http://schemas.openxmlformats.org/officeDocument/2006/relationships/hyperlink" Target="http://unfccc.int/meetings/copenhagen_dec_2009/items/5276.php" TargetMode="External"/><Relationship Id="rId1" Type="http://schemas.openxmlformats.org/officeDocument/2006/relationships/hyperlink" Target="http://unfccc.int/meetings/cop_15/copenhagen_accord/items/5265.php" TargetMode="External"/><Relationship Id="rId5" Type="http://schemas.openxmlformats.org/officeDocument/2006/relationships/comments" Target="../comments4.xml"/><Relationship Id="rId4" Type="http://schemas.openxmlformats.org/officeDocument/2006/relationships/vmlDrawing" Target="../drawings/vmlDrawing4.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AX502"/>
  <sheetViews>
    <sheetView zoomScale="85" zoomScaleNormal="85" workbookViewId="0">
      <pane xSplit="7" ySplit="3" topLeftCell="H202" activePane="bottomRight" state="frozen"/>
      <selection pane="topRight" activeCell="F1" sqref="F1"/>
      <selection pane="bottomLeft" activeCell="A4" sqref="A4"/>
      <selection pane="bottomRight"/>
    </sheetView>
  </sheetViews>
  <sheetFormatPr defaultRowHeight="12.75" x14ac:dyDescent="0.2"/>
  <cols>
    <col min="1" max="1" width="11.5703125" customWidth="1"/>
    <col min="2" max="2" width="9" style="145" customWidth="1"/>
    <col min="3" max="3" width="11.140625" style="145" customWidth="1"/>
    <col min="4" max="4" width="53.28515625" customWidth="1"/>
    <col min="5" max="5" width="21.140625" customWidth="1"/>
    <col min="6" max="6" width="17.28515625" customWidth="1"/>
    <col min="7" max="7" width="21.42578125" customWidth="1"/>
    <col min="8" max="8" width="14.85546875" customWidth="1"/>
    <col min="9" max="9" width="61.42578125" customWidth="1"/>
    <col min="10" max="10" width="61.140625" customWidth="1"/>
    <col min="11" max="11" width="43.28515625" style="71" customWidth="1"/>
    <col min="12" max="12" width="26.28515625" customWidth="1"/>
    <col min="13" max="13" width="28.85546875" customWidth="1"/>
    <col min="14" max="14" width="21" customWidth="1"/>
    <col min="15" max="15" width="13.42578125" customWidth="1"/>
    <col min="16" max="16" width="9.7109375" customWidth="1"/>
    <col min="17" max="17" width="13.140625" customWidth="1"/>
    <col min="18" max="18" width="30.7109375" customWidth="1"/>
    <col min="19" max="19" width="54.85546875" customWidth="1"/>
    <col min="20" max="21" width="14.85546875" style="71" customWidth="1"/>
    <col min="22" max="22" width="19.140625" customWidth="1"/>
    <col min="23" max="23" width="8.140625" customWidth="1"/>
    <col min="24" max="24" width="12.5703125" customWidth="1"/>
    <col min="25" max="25" width="34.140625" customWidth="1"/>
    <col min="26" max="26" width="12.28515625" customWidth="1"/>
    <col min="27" max="27" width="35" style="71" customWidth="1"/>
    <col min="28" max="28" width="12.5703125" style="71" customWidth="1"/>
    <col min="29" max="29" width="10.7109375" style="71" customWidth="1"/>
    <col min="30" max="30" width="9.85546875" customWidth="1"/>
    <col min="31" max="31" width="10.42578125" customWidth="1"/>
    <col min="32" max="32" width="10.5703125" customWidth="1"/>
    <col min="33" max="34" width="9.7109375" customWidth="1"/>
    <col min="35" max="35" width="12.42578125" customWidth="1"/>
    <col min="36" max="36" width="43.85546875" customWidth="1"/>
    <col min="37" max="37" width="47.42578125" customWidth="1"/>
    <col min="38" max="38" width="50.85546875" customWidth="1"/>
    <col min="39" max="39" width="8.42578125" customWidth="1"/>
    <col min="40" max="40" width="9.42578125" customWidth="1"/>
    <col min="41" max="41" width="11.42578125" customWidth="1"/>
    <col min="42" max="42" width="8.42578125" customWidth="1"/>
    <col min="43" max="43" width="61.7109375" customWidth="1"/>
    <col min="44" max="44" width="60.85546875" customWidth="1"/>
    <col min="46" max="46" width="24.42578125" customWidth="1"/>
  </cols>
  <sheetData>
    <row r="1" spans="1:44" ht="18" customHeight="1" x14ac:dyDescent="0.2">
      <c r="A1" s="57" t="str">
        <f>+Submissions!A1</f>
        <v>The NAMApipeline was produced by Jørgen Fenhann, UNEP Copenhagen Climate Centre, 1.October 2022, jorgen.fenhann@un.org, Phone (+45)40202789</v>
      </c>
      <c r="B1" s="141"/>
      <c r="C1" s="141"/>
      <c r="D1" s="2"/>
      <c r="E1" s="53"/>
      <c r="F1" s="53"/>
      <c r="G1" s="51"/>
      <c r="H1" s="51"/>
      <c r="I1" s="3"/>
      <c r="J1" s="4"/>
      <c r="K1" s="5"/>
      <c r="L1" s="3"/>
      <c r="M1" s="4"/>
      <c r="N1" s="42"/>
      <c r="O1" s="66"/>
      <c r="P1" s="66"/>
      <c r="Q1" s="7"/>
      <c r="R1" s="3"/>
      <c r="S1" s="63"/>
      <c r="T1" s="222"/>
      <c r="U1" s="222"/>
      <c r="V1" s="66"/>
      <c r="W1" s="66"/>
      <c r="X1" s="66"/>
      <c r="Y1" s="3"/>
      <c r="Z1" s="3"/>
      <c r="AA1" s="73"/>
      <c r="AB1" s="73"/>
      <c r="AC1" s="73"/>
      <c r="AD1" s="8"/>
      <c r="AE1" s="8"/>
      <c r="AF1" s="8"/>
      <c r="AG1" s="6"/>
      <c r="AH1" s="6"/>
      <c r="AI1" s="6"/>
      <c r="AJ1" s="6"/>
      <c r="AK1" s="6"/>
      <c r="AL1" s="6"/>
      <c r="AM1" s="7"/>
      <c r="AN1" s="7"/>
      <c r="AO1" s="7"/>
      <c r="AP1" s="7"/>
      <c r="AQ1" s="7"/>
      <c r="AR1" s="6"/>
    </row>
    <row r="2" spans="1:44" ht="18" customHeight="1" x14ac:dyDescent="0.2">
      <c r="A2" s="10"/>
      <c r="B2" s="142"/>
      <c r="C2" s="142"/>
      <c r="D2" s="11"/>
      <c r="E2" s="11"/>
      <c r="F2" s="11"/>
      <c r="G2" s="52"/>
      <c r="H2" s="52"/>
      <c r="I2" s="5"/>
      <c r="J2" s="5"/>
      <c r="K2" s="5"/>
      <c r="L2" s="5"/>
      <c r="M2" s="5"/>
      <c r="N2" s="42"/>
      <c r="O2" s="66"/>
      <c r="P2" s="66"/>
      <c r="Q2" s="7"/>
      <c r="R2" s="5"/>
      <c r="S2" s="63"/>
      <c r="T2" s="130"/>
      <c r="U2" s="130"/>
      <c r="V2" s="66"/>
      <c r="W2" s="66"/>
      <c r="X2" s="9"/>
      <c r="Y2" s="5"/>
      <c r="Z2" s="5"/>
      <c r="AA2" s="73"/>
      <c r="AB2" s="73"/>
      <c r="AC2" s="73"/>
      <c r="AD2" s="8"/>
      <c r="AE2" s="8"/>
      <c r="AF2" s="8"/>
      <c r="AG2" s="6"/>
      <c r="AH2" s="6"/>
      <c r="AI2" s="6"/>
      <c r="AJ2" s="6"/>
      <c r="AK2" s="6"/>
      <c r="AL2" s="6"/>
      <c r="AM2" s="7"/>
      <c r="AN2" s="7"/>
      <c r="AO2" s="7"/>
      <c r="AP2" s="7"/>
      <c r="AQ2" s="7"/>
      <c r="AR2" s="6"/>
    </row>
    <row r="3" spans="1:44" ht="68.25" customHeight="1" x14ac:dyDescent="0.2">
      <c r="A3" s="12" t="s">
        <v>0</v>
      </c>
      <c r="B3" s="143" t="s">
        <v>598</v>
      </c>
      <c r="C3" s="143" t="s">
        <v>1414</v>
      </c>
      <c r="D3" s="126" t="s">
        <v>1</v>
      </c>
      <c r="E3" s="44" t="s">
        <v>2</v>
      </c>
      <c r="F3" s="44" t="s">
        <v>3</v>
      </c>
      <c r="G3" s="44" t="s">
        <v>184</v>
      </c>
      <c r="H3" s="44" t="s">
        <v>349</v>
      </c>
      <c r="I3" s="15" t="s">
        <v>308</v>
      </c>
      <c r="J3" s="64" t="s">
        <v>309</v>
      </c>
      <c r="K3" s="15" t="s">
        <v>10</v>
      </c>
      <c r="L3" s="15" t="s">
        <v>13</v>
      </c>
      <c r="M3" s="14" t="s">
        <v>4</v>
      </c>
      <c r="N3" s="47" t="s">
        <v>310</v>
      </c>
      <c r="O3" s="47" t="s">
        <v>1160</v>
      </c>
      <c r="P3" s="47" t="s">
        <v>333</v>
      </c>
      <c r="Q3" s="46" t="s">
        <v>270</v>
      </c>
      <c r="R3" s="15" t="s">
        <v>311</v>
      </c>
      <c r="S3" s="47" t="s">
        <v>191</v>
      </c>
      <c r="T3" s="44" t="s">
        <v>763</v>
      </c>
      <c r="U3" s="295" t="s">
        <v>1231</v>
      </c>
      <c r="V3" s="47" t="s">
        <v>775</v>
      </c>
      <c r="W3" s="47" t="s">
        <v>1179</v>
      </c>
      <c r="X3" s="19" t="s">
        <v>1180</v>
      </c>
      <c r="Y3" s="16" t="s">
        <v>186</v>
      </c>
      <c r="Z3" s="16" t="s">
        <v>295</v>
      </c>
      <c r="AA3" s="16" t="s">
        <v>306</v>
      </c>
      <c r="AB3" s="16" t="s">
        <v>1181</v>
      </c>
      <c r="AC3" s="17" t="s">
        <v>1156</v>
      </c>
      <c r="AD3" s="17" t="s">
        <v>313</v>
      </c>
      <c r="AE3" s="47" t="s">
        <v>315</v>
      </c>
      <c r="AF3" s="47" t="s">
        <v>314</v>
      </c>
      <c r="AG3" s="14" t="s">
        <v>558</v>
      </c>
      <c r="AH3" s="14" t="s">
        <v>2048</v>
      </c>
      <c r="AI3" s="478" t="s">
        <v>2179</v>
      </c>
      <c r="AJ3" s="61" t="s">
        <v>185</v>
      </c>
      <c r="AK3" s="61" t="s">
        <v>303</v>
      </c>
      <c r="AL3" s="61" t="s">
        <v>1034</v>
      </c>
      <c r="AM3" s="46" t="s">
        <v>2064</v>
      </c>
      <c r="AN3" s="18" t="s">
        <v>132</v>
      </c>
      <c r="AO3" s="196" t="s">
        <v>784</v>
      </c>
      <c r="AP3" s="46" t="s">
        <v>12</v>
      </c>
      <c r="AQ3" s="125" t="s">
        <v>11</v>
      </c>
      <c r="AR3" s="15" t="s">
        <v>356</v>
      </c>
    </row>
    <row r="4" spans="1:44" s="65" customFormat="1" ht="27" customHeight="1" x14ac:dyDescent="0.2">
      <c r="A4" s="21" t="s">
        <v>6</v>
      </c>
      <c r="B4" s="22" t="s">
        <v>1069</v>
      </c>
      <c r="C4" s="22"/>
      <c r="D4" s="56" t="s">
        <v>1232</v>
      </c>
      <c r="E4" s="24" t="s">
        <v>105</v>
      </c>
      <c r="F4" s="26" t="s">
        <v>111</v>
      </c>
      <c r="G4" s="24" t="s">
        <v>158</v>
      </c>
      <c r="H4" s="24"/>
      <c r="I4" s="255" t="s">
        <v>1235</v>
      </c>
      <c r="J4" s="263" t="s">
        <v>251</v>
      </c>
      <c r="K4" s="28" t="s">
        <v>1233</v>
      </c>
      <c r="L4" s="22" t="s">
        <v>1435</v>
      </c>
      <c r="M4" s="22" t="s">
        <v>249</v>
      </c>
      <c r="N4" s="45" t="s">
        <v>250</v>
      </c>
      <c r="O4" s="22"/>
      <c r="P4" s="360">
        <v>1.5</v>
      </c>
      <c r="Q4" s="27">
        <v>41171</v>
      </c>
      <c r="R4" s="255" t="s">
        <v>288</v>
      </c>
      <c r="S4" s="255" t="s">
        <v>289</v>
      </c>
      <c r="T4" s="28"/>
      <c r="U4" s="45"/>
      <c r="V4" s="91"/>
      <c r="W4" s="120"/>
      <c r="X4" s="139">
        <f t="shared" ref="X4:X41" si="0">Z4+AB4+AC4</f>
        <v>0.84</v>
      </c>
      <c r="Y4" s="255"/>
      <c r="Z4" s="140">
        <v>0.6</v>
      </c>
      <c r="AA4" s="74"/>
      <c r="AB4" s="25"/>
      <c r="AC4" s="76">
        <f t="shared" ref="AC4:AC41" si="1">SUM(AD4:AF4)</f>
        <v>0.24000000000000002</v>
      </c>
      <c r="AD4" s="76">
        <v>0.04</v>
      </c>
      <c r="AE4" s="76">
        <v>0.2</v>
      </c>
      <c r="AF4" s="76"/>
      <c r="AG4" s="58"/>
      <c r="AH4" s="58">
        <v>1.285034</v>
      </c>
      <c r="AI4" s="58"/>
      <c r="AJ4" s="62"/>
      <c r="AK4" s="62"/>
      <c r="AL4" s="62" t="s">
        <v>1234</v>
      </c>
      <c r="AM4" s="38"/>
      <c r="AN4" s="41"/>
      <c r="AO4" s="82"/>
      <c r="AP4" s="41"/>
      <c r="AQ4" s="255" t="s">
        <v>248</v>
      </c>
      <c r="AR4" s="24"/>
    </row>
    <row r="5" spans="1:44" s="65" customFormat="1" ht="36" customHeight="1" x14ac:dyDescent="0.2">
      <c r="A5" s="21" t="s">
        <v>8</v>
      </c>
      <c r="B5" s="22" t="s">
        <v>1070</v>
      </c>
      <c r="C5" s="22"/>
      <c r="D5" s="56" t="s">
        <v>254</v>
      </c>
      <c r="E5" s="24" t="s">
        <v>105</v>
      </c>
      <c r="F5" s="26" t="s">
        <v>111</v>
      </c>
      <c r="G5" s="24" t="s">
        <v>158</v>
      </c>
      <c r="H5" s="24"/>
      <c r="I5" s="255" t="s">
        <v>1235</v>
      </c>
      <c r="J5" s="263" t="s">
        <v>253</v>
      </c>
      <c r="K5" s="28" t="s">
        <v>1233</v>
      </c>
      <c r="L5" s="22" t="s">
        <v>749</v>
      </c>
      <c r="M5" s="28" t="s">
        <v>252</v>
      </c>
      <c r="N5" s="45"/>
      <c r="O5" s="22"/>
      <c r="P5" s="360"/>
      <c r="Q5" s="27">
        <v>41171</v>
      </c>
      <c r="R5" s="255" t="s">
        <v>288</v>
      </c>
      <c r="S5" s="255" t="s">
        <v>289</v>
      </c>
      <c r="T5" s="28"/>
      <c r="U5" s="45"/>
      <c r="V5" s="91"/>
      <c r="W5" s="120"/>
      <c r="X5" s="139">
        <f t="shared" si="0"/>
        <v>0.2</v>
      </c>
      <c r="Y5" s="255"/>
      <c r="Z5" s="140">
        <v>0.1</v>
      </c>
      <c r="AA5" s="74"/>
      <c r="AB5" s="25"/>
      <c r="AC5" s="76">
        <f t="shared" si="1"/>
        <v>0.1</v>
      </c>
      <c r="AD5" s="76">
        <v>0.04</v>
      </c>
      <c r="AE5" s="76">
        <v>0.06</v>
      </c>
      <c r="AF5" s="76"/>
      <c r="AG5" s="58"/>
      <c r="AH5" s="58">
        <v>1.2</v>
      </c>
      <c r="AI5" s="58"/>
      <c r="AJ5" s="62"/>
      <c r="AK5" s="62"/>
      <c r="AL5" s="58" t="s">
        <v>1234</v>
      </c>
      <c r="AM5" s="38"/>
      <c r="AN5" s="41"/>
      <c r="AO5" s="82"/>
      <c r="AP5" s="41"/>
      <c r="AQ5" s="255" t="s">
        <v>248</v>
      </c>
      <c r="AR5" s="24"/>
    </row>
    <row r="6" spans="1:44" s="65" customFormat="1" ht="27" customHeight="1" x14ac:dyDescent="0.2">
      <c r="A6" s="157" t="s">
        <v>9</v>
      </c>
      <c r="B6" s="158" t="s">
        <v>599</v>
      </c>
      <c r="C6" s="158"/>
      <c r="D6" s="159" t="s">
        <v>259</v>
      </c>
      <c r="E6" s="160" t="s">
        <v>105</v>
      </c>
      <c r="F6" s="161" t="s">
        <v>122</v>
      </c>
      <c r="G6" s="160" t="s">
        <v>59</v>
      </c>
      <c r="H6" s="160"/>
      <c r="I6" s="268"/>
      <c r="J6" s="273" t="s">
        <v>258</v>
      </c>
      <c r="K6" s="162" t="s">
        <v>255</v>
      </c>
      <c r="L6" s="158" t="s">
        <v>328</v>
      </c>
      <c r="M6" s="158" t="s">
        <v>256</v>
      </c>
      <c r="N6" s="163" t="s">
        <v>257</v>
      </c>
      <c r="O6" s="158"/>
      <c r="P6" s="492"/>
      <c r="Q6" s="164">
        <v>41180</v>
      </c>
      <c r="R6" s="268" t="s">
        <v>288</v>
      </c>
      <c r="S6" s="268" t="s">
        <v>289</v>
      </c>
      <c r="T6" s="162" t="s">
        <v>764</v>
      </c>
      <c r="U6" s="163"/>
      <c r="V6" s="182"/>
      <c r="W6" s="165"/>
      <c r="X6" s="277">
        <f t="shared" si="0"/>
        <v>0.5</v>
      </c>
      <c r="Y6" s="268"/>
      <c r="Z6" s="301"/>
      <c r="AA6" s="167"/>
      <c r="AB6" s="168"/>
      <c r="AC6" s="274">
        <f t="shared" si="1"/>
        <v>0.5</v>
      </c>
      <c r="AD6" s="274">
        <v>0.4</v>
      </c>
      <c r="AE6" s="274">
        <v>0</v>
      </c>
      <c r="AF6" s="274">
        <v>0.1</v>
      </c>
      <c r="AG6" s="169"/>
      <c r="AH6" s="169"/>
      <c r="AI6" s="170"/>
      <c r="AJ6" s="171"/>
      <c r="AK6" s="171"/>
      <c r="AL6" s="170"/>
      <c r="AM6" s="166"/>
      <c r="AN6" s="172"/>
      <c r="AO6" s="197"/>
      <c r="AP6" s="172"/>
      <c r="AQ6" s="268" t="s">
        <v>248</v>
      </c>
      <c r="AR6" s="160"/>
    </row>
    <row r="7" spans="1:44" s="65" customFormat="1" ht="63" customHeight="1" x14ac:dyDescent="0.2">
      <c r="A7" s="21" t="s">
        <v>441</v>
      </c>
      <c r="B7" s="22" t="s">
        <v>1064</v>
      </c>
      <c r="C7" s="22"/>
      <c r="D7" s="56" t="s">
        <v>269</v>
      </c>
      <c r="E7" s="24" t="s">
        <v>106</v>
      </c>
      <c r="F7" s="26" t="s">
        <v>108</v>
      </c>
      <c r="G7" s="24" t="s">
        <v>46</v>
      </c>
      <c r="H7" s="24"/>
      <c r="I7" s="255" t="s">
        <v>1236</v>
      </c>
      <c r="J7" s="263" t="s">
        <v>273</v>
      </c>
      <c r="K7" s="28" t="s">
        <v>2479</v>
      </c>
      <c r="L7" s="22" t="s">
        <v>16</v>
      </c>
      <c r="M7" s="28" t="s">
        <v>16</v>
      </c>
      <c r="N7" s="45"/>
      <c r="O7" s="67">
        <v>40909</v>
      </c>
      <c r="P7" s="82"/>
      <c r="Q7" s="27" t="s">
        <v>2478</v>
      </c>
      <c r="R7" s="255" t="s">
        <v>312</v>
      </c>
      <c r="S7" s="263" t="s">
        <v>272</v>
      </c>
      <c r="T7" s="28"/>
      <c r="U7" s="45"/>
      <c r="V7" s="45"/>
      <c r="W7" s="117"/>
      <c r="X7" s="139">
        <f t="shared" si="0"/>
        <v>321</v>
      </c>
      <c r="Y7" s="255" t="s">
        <v>274</v>
      </c>
      <c r="Z7" s="140">
        <v>321</v>
      </c>
      <c r="AA7" s="74"/>
      <c r="AB7" s="25"/>
      <c r="AC7" s="76">
        <f t="shared" si="1"/>
        <v>0</v>
      </c>
      <c r="AD7" s="76">
        <v>0</v>
      </c>
      <c r="AE7" s="76">
        <v>0</v>
      </c>
      <c r="AF7" s="76">
        <v>0</v>
      </c>
      <c r="AG7" s="58"/>
      <c r="AH7" s="58">
        <v>2.27</v>
      </c>
      <c r="AI7" s="58">
        <v>18.399999999999999</v>
      </c>
      <c r="AJ7" s="62"/>
      <c r="AK7" s="62"/>
      <c r="AL7" s="350" t="s">
        <v>1237</v>
      </c>
      <c r="AM7" s="38"/>
      <c r="AN7" s="41"/>
      <c r="AO7" s="82"/>
      <c r="AP7" s="41"/>
      <c r="AQ7" s="327" t="s">
        <v>271</v>
      </c>
      <c r="AR7" s="24"/>
    </row>
    <row r="8" spans="1:44" s="65" customFormat="1" ht="55.5" customHeight="1" x14ac:dyDescent="0.2">
      <c r="A8" s="21" t="s">
        <v>17</v>
      </c>
      <c r="B8" s="22" t="s">
        <v>1096</v>
      </c>
      <c r="C8" s="22"/>
      <c r="D8" s="56" t="s">
        <v>278</v>
      </c>
      <c r="E8" s="24" t="s">
        <v>106</v>
      </c>
      <c r="F8" s="26" t="s">
        <v>108</v>
      </c>
      <c r="G8" s="24" t="s">
        <v>46</v>
      </c>
      <c r="H8" s="24"/>
      <c r="I8" s="255" t="s">
        <v>1238</v>
      </c>
      <c r="J8" s="263" t="s">
        <v>1239</v>
      </c>
      <c r="K8" s="28" t="s">
        <v>293</v>
      </c>
      <c r="L8" s="22" t="s">
        <v>749</v>
      </c>
      <c r="M8" s="28" t="s">
        <v>252</v>
      </c>
      <c r="N8" s="28"/>
      <c r="O8" s="67">
        <v>41275</v>
      </c>
      <c r="P8" s="82">
        <v>4</v>
      </c>
      <c r="Q8" s="27">
        <v>41233</v>
      </c>
      <c r="R8" s="255" t="s">
        <v>290</v>
      </c>
      <c r="S8" s="255" t="s">
        <v>289</v>
      </c>
      <c r="T8" s="28"/>
      <c r="U8" s="45"/>
      <c r="V8" s="91"/>
      <c r="W8" s="120"/>
      <c r="X8" s="139">
        <f t="shared" si="0"/>
        <v>22.8</v>
      </c>
      <c r="Y8" s="255" t="s">
        <v>294</v>
      </c>
      <c r="Z8" s="140">
        <v>8.4</v>
      </c>
      <c r="AA8" s="74" t="s">
        <v>296</v>
      </c>
      <c r="AB8" s="72">
        <v>6.65</v>
      </c>
      <c r="AC8" s="76">
        <f t="shared" si="1"/>
        <v>7.75</v>
      </c>
      <c r="AD8" s="76">
        <v>7.75</v>
      </c>
      <c r="AE8" s="76">
        <v>0</v>
      </c>
      <c r="AF8" s="76"/>
      <c r="AG8" s="58">
        <f>AI8/8</f>
        <v>5.25</v>
      </c>
      <c r="AH8" s="58">
        <f>AI8/4</f>
        <v>10.5</v>
      </c>
      <c r="AI8" s="58">
        <v>42</v>
      </c>
      <c r="AJ8" s="62" t="s">
        <v>297</v>
      </c>
      <c r="AK8" s="62"/>
      <c r="AL8" s="58" t="s">
        <v>1240</v>
      </c>
      <c r="AM8" s="38"/>
      <c r="AN8" s="41"/>
      <c r="AO8" s="82"/>
      <c r="AP8" s="41"/>
      <c r="AQ8" s="327" t="s">
        <v>271</v>
      </c>
      <c r="AR8" s="24"/>
    </row>
    <row r="9" spans="1:44" ht="25.5" customHeight="1" x14ac:dyDescent="0.2">
      <c r="A9" s="157" t="s">
        <v>18</v>
      </c>
      <c r="B9" s="158" t="s">
        <v>1071</v>
      </c>
      <c r="C9" s="158" t="s">
        <v>1445</v>
      </c>
      <c r="D9" s="159" t="s">
        <v>275</v>
      </c>
      <c r="E9" s="160" t="s">
        <v>106</v>
      </c>
      <c r="F9" s="161" t="s">
        <v>108</v>
      </c>
      <c r="G9" s="160" t="s">
        <v>176</v>
      </c>
      <c r="H9" s="160"/>
      <c r="I9" s="268" t="s">
        <v>299</v>
      </c>
      <c r="J9" s="273"/>
      <c r="K9" s="162" t="s">
        <v>1446</v>
      </c>
      <c r="L9" s="158" t="s">
        <v>436</v>
      </c>
      <c r="M9" s="162" t="s">
        <v>298</v>
      </c>
      <c r="N9" s="162"/>
      <c r="O9" s="496" t="s">
        <v>301</v>
      </c>
      <c r="P9" s="492"/>
      <c r="Q9" s="164">
        <v>41240</v>
      </c>
      <c r="R9" s="268" t="s">
        <v>288</v>
      </c>
      <c r="S9" s="268" t="s">
        <v>289</v>
      </c>
      <c r="T9" s="162" t="s">
        <v>1229</v>
      </c>
      <c r="U9" s="163"/>
      <c r="V9" s="182"/>
      <c r="W9" s="165"/>
      <c r="X9" s="277">
        <f t="shared" si="0"/>
        <v>0.625</v>
      </c>
      <c r="Y9" s="268"/>
      <c r="Z9" s="301"/>
      <c r="AA9" s="167" t="s">
        <v>300</v>
      </c>
      <c r="AB9" s="168"/>
      <c r="AC9" s="274">
        <f t="shared" si="1"/>
        <v>0.625</v>
      </c>
      <c r="AD9" s="274">
        <v>0.625</v>
      </c>
      <c r="AE9" s="274">
        <v>0</v>
      </c>
      <c r="AF9" s="274">
        <v>0</v>
      </c>
      <c r="AG9" s="169"/>
      <c r="AH9" s="169"/>
      <c r="AI9" s="170"/>
      <c r="AJ9" s="171"/>
      <c r="AK9" s="171"/>
      <c r="AL9" s="170"/>
      <c r="AM9" s="166"/>
      <c r="AN9" s="172"/>
      <c r="AO9" s="197"/>
      <c r="AP9" s="172"/>
      <c r="AQ9" s="268" t="s">
        <v>248</v>
      </c>
      <c r="AR9" s="160"/>
    </row>
    <row r="10" spans="1:44" ht="25.5" customHeight="1" x14ac:dyDescent="0.2">
      <c r="A10" s="21" t="s">
        <v>19</v>
      </c>
      <c r="B10" s="22" t="s">
        <v>1080</v>
      </c>
      <c r="C10" s="22"/>
      <c r="D10" s="56" t="s">
        <v>276</v>
      </c>
      <c r="E10" s="24" t="s">
        <v>106</v>
      </c>
      <c r="F10" s="26" t="s">
        <v>108</v>
      </c>
      <c r="G10" s="24" t="s">
        <v>176</v>
      </c>
      <c r="H10" s="24"/>
      <c r="I10" s="255" t="s">
        <v>1241</v>
      </c>
      <c r="J10" s="263" t="s">
        <v>1242</v>
      </c>
      <c r="K10" s="28" t="s">
        <v>302</v>
      </c>
      <c r="L10" s="22" t="s">
        <v>1442</v>
      </c>
      <c r="M10" s="22" t="s">
        <v>439</v>
      </c>
      <c r="N10" s="45" t="s">
        <v>305</v>
      </c>
      <c r="O10" s="491" t="s">
        <v>301</v>
      </c>
      <c r="P10" s="360">
        <v>1</v>
      </c>
      <c r="Q10" s="27">
        <v>41240</v>
      </c>
      <c r="R10" s="255" t="s">
        <v>288</v>
      </c>
      <c r="S10" s="255" t="s">
        <v>289</v>
      </c>
      <c r="T10" s="28"/>
      <c r="U10" s="45"/>
      <c r="V10" s="91"/>
      <c r="W10" s="120"/>
      <c r="X10" s="139">
        <f t="shared" si="0"/>
        <v>0.35</v>
      </c>
      <c r="Y10" s="255" t="s">
        <v>294</v>
      </c>
      <c r="Z10" s="140"/>
      <c r="AA10" s="74"/>
      <c r="AB10" s="25"/>
      <c r="AC10" s="76">
        <f t="shared" si="1"/>
        <v>0.35</v>
      </c>
      <c r="AD10" s="76">
        <v>0.3</v>
      </c>
      <c r="AE10" s="76">
        <v>0</v>
      </c>
      <c r="AF10" s="76">
        <v>0.05</v>
      </c>
      <c r="AG10" s="77"/>
      <c r="AH10" s="77"/>
      <c r="AI10" s="78"/>
      <c r="AJ10" s="62"/>
      <c r="AK10" s="62" t="s">
        <v>304</v>
      </c>
      <c r="AL10" s="58" t="s">
        <v>1243</v>
      </c>
      <c r="AM10" s="38"/>
      <c r="AN10" s="41"/>
      <c r="AO10" s="82"/>
      <c r="AP10" s="41"/>
      <c r="AQ10" s="255" t="s">
        <v>248</v>
      </c>
      <c r="AR10" s="24"/>
    </row>
    <row r="11" spans="1:44" ht="39" customHeight="1" x14ac:dyDescent="0.2">
      <c r="A11" s="200" t="s">
        <v>20</v>
      </c>
      <c r="B11" s="201" t="s">
        <v>1089</v>
      </c>
      <c r="C11" s="201"/>
      <c r="D11" s="202" t="s">
        <v>277</v>
      </c>
      <c r="E11" s="203" t="s">
        <v>106</v>
      </c>
      <c r="F11" s="204" t="s">
        <v>108</v>
      </c>
      <c r="G11" s="203" t="s">
        <v>176</v>
      </c>
      <c r="H11" s="203"/>
      <c r="I11" s="270" t="s">
        <v>1245</v>
      </c>
      <c r="J11" s="264" t="s">
        <v>1246</v>
      </c>
      <c r="K11" s="205" t="s">
        <v>284</v>
      </c>
      <c r="L11" s="201" t="s">
        <v>1435</v>
      </c>
      <c r="M11" s="205" t="s">
        <v>95</v>
      </c>
      <c r="N11" s="206"/>
      <c r="O11" s="382">
        <v>40909</v>
      </c>
      <c r="P11" s="497">
        <v>2</v>
      </c>
      <c r="Q11" s="209">
        <v>41240</v>
      </c>
      <c r="R11" s="270" t="s">
        <v>288</v>
      </c>
      <c r="S11" s="270" t="s">
        <v>289</v>
      </c>
      <c r="T11" s="205" t="s">
        <v>840</v>
      </c>
      <c r="U11" s="206"/>
      <c r="V11" s="218" t="s">
        <v>890</v>
      </c>
      <c r="W11" s="210">
        <v>0</v>
      </c>
      <c r="X11" s="276">
        <f t="shared" si="0"/>
        <v>1.25</v>
      </c>
      <c r="Y11" s="270" t="s">
        <v>294</v>
      </c>
      <c r="Z11" s="302">
        <v>0.5</v>
      </c>
      <c r="AA11" s="212"/>
      <c r="AB11" s="213"/>
      <c r="AC11" s="275">
        <f t="shared" si="1"/>
        <v>0.75</v>
      </c>
      <c r="AD11" s="275">
        <v>0.75</v>
      </c>
      <c r="AE11" s="275">
        <v>0</v>
      </c>
      <c r="AF11" s="275">
        <v>0</v>
      </c>
      <c r="AG11" s="257"/>
      <c r="AH11" s="257"/>
      <c r="AI11" s="214"/>
      <c r="AJ11" s="215"/>
      <c r="AK11" s="215"/>
      <c r="AL11" s="215" t="s">
        <v>1244</v>
      </c>
      <c r="AM11" s="211">
        <v>1000</v>
      </c>
      <c r="AN11" s="216"/>
      <c r="AO11" s="208"/>
      <c r="AP11" s="216"/>
      <c r="AQ11" s="270" t="s">
        <v>248</v>
      </c>
      <c r="AR11" s="203" t="s">
        <v>307</v>
      </c>
    </row>
    <row r="12" spans="1:44" ht="40.5" customHeight="1" x14ac:dyDescent="0.2">
      <c r="A12" s="21" t="s">
        <v>21</v>
      </c>
      <c r="B12" s="22" t="s">
        <v>1068</v>
      </c>
      <c r="C12" s="22"/>
      <c r="D12" s="56" t="s">
        <v>279</v>
      </c>
      <c r="E12" s="24" t="s">
        <v>106</v>
      </c>
      <c r="F12" s="26" t="s">
        <v>108</v>
      </c>
      <c r="G12" s="24" t="s">
        <v>176</v>
      </c>
      <c r="H12" s="24"/>
      <c r="I12" s="255" t="s">
        <v>1247</v>
      </c>
      <c r="J12" s="263" t="s">
        <v>1248</v>
      </c>
      <c r="K12" s="28" t="s">
        <v>284</v>
      </c>
      <c r="L12" s="22" t="s">
        <v>1435</v>
      </c>
      <c r="M12" s="28" t="s">
        <v>94</v>
      </c>
      <c r="N12" s="45" t="s">
        <v>93</v>
      </c>
      <c r="O12" s="67">
        <v>42005</v>
      </c>
      <c r="P12" s="82"/>
      <c r="Q12" s="27">
        <v>41240</v>
      </c>
      <c r="R12" s="255" t="s">
        <v>290</v>
      </c>
      <c r="S12" s="255" t="s">
        <v>289</v>
      </c>
      <c r="T12" s="28"/>
      <c r="U12" s="45"/>
      <c r="V12" s="91"/>
      <c r="W12" s="120"/>
      <c r="X12" s="139">
        <f t="shared" si="0"/>
        <v>2</v>
      </c>
      <c r="Y12" s="255"/>
      <c r="Z12" s="140"/>
      <c r="AA12" s="74"/>
      <c r="AB12" s="25"/>
      <c r="AC12" s="76">
        <f t="shared" si="1"/>
        <v>2</v>
      </c>
      <c r="AD12" s="76">
        <v>2</v>
      </c>
      <c r="AE12" s="76">
        <v>0</v>
      </c>
      <c r="AF12" s="76">
        <v>0</v>
      </c>
      <c r="AG12" s="69">
        <f>4.58/30</f>
        <v>0.15266666666666667</v>
      </c>
      <c r="AH12" s="69">
        <v>0.22</v>
      </c>
      <c r="AI12" s="58">
        <f>0.5*5*AH12</f>
        <v>0.55000000000000004</v>
      </c>
      <c r="AJ12" s="62" t="s">
        <v>285</v>
      </c>
      <c r="AK12" s="62"/>
      <c r="AL12" s="62" t="s">
        <v>1255</v>
      </c>
      <c r="AM12" s="38">
        <v>200</v>
      </c>
      <c r="AN12" s="41"/>
      <c r="AO12" s="82"/>
      <c r="AP12" s="41"/>
      <c r="AQ12" s="255" t="s">
        <v>292</v>
      </c>
      <c r="AR12" s="24" t="s">
        <v>291</v>
      </c>
    </row>
    <row r="13" spans="1:44" ht="25.5" customHeight="1" x14ac:dyDescent="0.2">
      <c r="A13" s="21" t="s">
        <v>22</v>
      </c>
      <c r="B13" s="22" t="s">
        <v>1066</v>
      </c>
      <c r="C13" s="22"/>
      <c r="D13" s="56" t="s">
        <v>280</v>
      </c>
      <c r="E13" s="24" t="s">
        <v>106</v>
      </c>
      <c r="F13" s="26" t="s">
        <v>108</v>
      </c>
      <c r="G13" s="24" t="s">
        <v>176</v>
      </c>
      <c r="H13" s="24"/>
      <c r="I13" s="255" t="s">
        <v>1249</v>
      </c>
      <c r="J13" s="263" t="s">
        <v>1250</v>
      </c>
      <c r="K13" s="28" t="s">
        <v>284</v>
      </c>
      <c r="L13" s="22" t="s">
        <v>1435</v>
      </c>
      <c r="M13" s="28" t="s">
        <v>282</v>
      </c>
      <c r="N13" s="28"/>
      <c r="O13" s="67">
        <v>40909</v>
      </c>
      <c r="P13" s="82">
        <v>3</v>
      </c>
      <c r="Q13" s="27">
        <v>41240</v>
      </c>
      <c r="R13" s="255" t="s">
        <v>312</v>
      </c>
      <c r="S13" s="263" t="s">
        <v>192</v>
      </c>
      <c r="T13" s="28"/>
      <c r="U13" s="45"/>
      <c r="V13" s="45"/>
      <c r="W13" s="117"/>
      <c r="X13" s="139">
        <f t="shared" si="0"/>
        <v>505</v>
      </c>
      <c r="Y13" s="255" t="s">
        <v>283</v>
      </c>
      <c r="Z13" s="140">
        <f>500+5</f>
        <v>505</v>
      </c>
      <c r="AA13" s="74"/>
      <c r="AB13" s="25"/>
      <c r="AC13" s="76">
        <f t="shared" si="1"/>
        <v>0</v>
      </c>
      <c r="AD13" s="306"/>
      <c r="AE13" s="306"/>
      <c r="AF13" s="306"/>
      <c r="AG13" s="69">
        <v>0.49</v>
      </c>
      <c r="AH13" s="69">
        <v>0.49</v>
      </c>
      <c r="AI13" s="58">
        <f>AG13*8</f>
        <v>3.92</v>
      </c>
      <c r="AJ13" s="62" t="s">
        <v>285</v>
      </c>
      <c r="AK13" s="62"/>
      <c r="AL13" s="362" t="s">
        <v>1464</v>
      </c>
      <c r="AM13" s="38"/>
      <c r="AN13" s="41"/>
      <c r="AO13" s="82"/>
      <c r="AP13" s="41"/>
      <c r="AQ13" s="327" t="s">
        <v>271</v>
      </c>
      <c r="AR13" s="24"/>
    </row>
    <row r="14" spans="1:44" ht="75.75" customHeight="1" x14ac:dyDescent="0.2">
      <c r="A14" s="21" t="s">
        <v>23</v>
      </c>
      <c r="B14" s="22" t="s">
        <v>1067</v>
      </c>
      <c r="C14" s="22"/>
      <c r="D14" s="56" t="s">
        <v>281</v>
      </c>
      <c r="E14" s="24" t="s">
        <v>106</v>
      </c>
      <c r="F14" s="26" t="s">
        <v>108</v>
      </c>
      <c r="G14" s="24" t="s">
        <v>176</v>
      </c>
      <c r="H14" s="24"/>
      <c r="I14" s="255" t="s">
        <v>1252</v>
      </c>
      <c r="J14" s="263" t="s">
        <v>1251</v>
      </c>
      <c r="K14" s="28" t="s">
        <v>284</v>
      </c>
      <c r="L14" s="22" t="s">
        <v>1435</v>
      </c>
      <c r="M14" s="28" t="s">
        <v>286</v>
      </c>
      <c r="N14" s="45"/>
      <c r="O14" s="67">
        <v>38353</v>
      </c>
      <c r="P14" s="82">
        <v>10</v>
      </c>
      <c r="Q14" s="27">
        <v>41240</v>
      </c>
      <c r="R14" s="255" t="s">
        <v>312</v>
      </c>
      <c r="S14" s="263" t="s">
        <v>1213</v>
      </c>
      <c r="T14" s="28"/>
      <c r="U14" s="45"/>
      <c r="V14" s="45"/>
      <c r="W14" s="117"/>
      <c r="X14" s="139">
        <f t="shared" si="0"/>
        <v>0</v>
      </c>
      <c r="Y14" s="255"/>
      <c r="Z14" s="140"/>
      <c r="AA14" s="74"/>
      <c r="AB14" s="25"/>
      <c r="AC14" s="76">
        <f t="shared" si="1"/>
        <v>0</v>
      </c>
      <c r="AD14" s="306"/>
      <c r="AE14" s="306"/>
      <c r="AF14" s="306"/>
      <c r="AG14" s="58">
        <v>5.2</v>
      </c>
      <c r="AH14" s="58">
        <v>5.2</v>
      </c>
      <c r="AI14" s="58">
        <f>8*AG14</f>
        <v>41.6</v>
      </c>
      <c r="AJ14" s="62" t="s">
        <v>285</v>
      </c>
      <c r="AK14" s="62"/>
      <c r="AL14" s="362" t="s">
        <v>1465</v>
      </c>
      <c r="AM14" s="38">
        <f>250+880+7</f>
        <v>1137</v>
      </c>
      <c r="AN14" s="41"/>
      <c r="AO14" s="82"/>
      <c r="AP14" s="41"/>
      <c r="AQ14" s="327" t="s">
        <v>271</v>
      </c>
      <c r="AR14" s="24" t="s">
        <v>287</v>
      </c>
    </row>
    <row r="15" spans="1:44" ht="40.5" customHeight="1" x14ac:dyDescent="0.2">
      <c r="A15" s="200" t="s">
        <v>24</v>
      </c>
      <c r="B15" s="201" t="s">
        <v>1100</v>
      </c>
      <c r="C15" s="201"/>
      <c r="D15" s="202" t="s">
        <v>1640</v>
      </c>
      <c r="E15" s="203" t="s">
        <v>112</v>
      </c>
      <c r="F15" s="204" t="s">
        <v>115</v>
      </c>
      <c r="G15" s="203" t="s">
        <v>65</v>
      </c>
      <c r="H15" s="203"/>
      <c r="I15" s="270" t="s">
        <v>1253</v>
      </c>
      <c r="J15" s="264" t="s">
        <v>1254</v>
      </c>
      <c r="K15" s="205" t="s">
        <v>327</v>
      </c>
      <c r="L15" s="201" t="s">
        <v>328</v>
      </c>
      <c r="M15" s="205" t="s">
        <v>329</v>
      </c>
      <c r="N15" s="206"/>
      <c r="O15" s="207">
        <v>41275</v>
      </c>
      <c r="P15" s="208">
        <v>8</v>
      </c>
      <c r="Q15" s="209">
        <v>41241</v>
      </c>
      <c r="R15" s="270" t="s">
        <v>290</v>
      </c>
      <c r="S15" s="270" t="s">
        <v>330</v>
      </c>
      <c r="T15" s="205" t="s">
        <v>840</v>
      </c>
      <c r="U15" s="206"/>
      <c r="V15" s="206" t="s">
        <v>662</v>
      </c>
      <c r="W15" s="219">
        <f>14/0.84</f>
        <v>16.666666666666668</v>
      </c>
      <c r="X15" s="276">
        <f t="shared" si="0"/>
        <v>800</v>
      </c>
      <c r="Y15" s="270"/>
      <c r="Z15" s="302">
        <v>480</v>
      </c>
      <c r="AA15" s="212" t="s">
        <v>331</v>
      </c>
      <c r="AB15" s="213"/>
      <c r="AC15" s="275">
        <f t="shared" si="1"/>
        <v>320</v>
      </c>
      <c r="AD15" s="275">
        <v>300</v>
      </c>
      <c r="AE15" s="275">
        <v>20</v>
      </c>
      <c r="AF15" s="275"/>
      <c r="AG15" s="214"/>
      <c r="AH15" s="214">
        <v>5</v>
      </c>
      <c r="AI15" s="214"/>
      <c r="AJ15" s="215" t="s">
        <v>1182</v>
      </c>
      <c r="AK15" s="215" t="s">
        <v>334</v>
      </c>
      <c r="AL15" s="371" t="s">
        <v>1471</v>
      </c>
      <c r="AM15" s="211">
        <v>0</v>
      </c>
      <c r="AN15" s="216"/>
      <c r="AO15" s="208"/>
      <c r="AP15" s="216"/>
      <c r="AQ15" s="370" t="s">
        <v>1641</v>
      </c>
      <c r="AR15" s="203" t="s">
        <v>332</v>
      </c>
    </row>
    <row r="16" spans="1:44" ht="63" customHeight="1" x14ac:dyDescent="0.2">
      <c r="A16" s="200" t="s">
        <v>25</v>
      </c>
      <c r="B16" s="201" t="s">
        <v>1104</v>
      </c>
      <c r="C16" s="201"/>
      <c r="D16" s="202" t="s">
        <v>325</v>
      </c>
      <c r="E16" s="203" t="s">
        <v>106</v>
      </c>
      <c r="F16" s="204" t="s">
        <v>108</v>
      </c>
      <c r="G16" s="203" t="s">
        <v>46</v>
      </c>
      <c r="H16" s="203"/>
      <c r="I16" s="270" t="s">
        <v>1256</v>
      </c>
      <c r="J16" s="264" t="s">
        <v>1257</v>
      </c>
      <c r="K16" s="205" t="s">
        <v>335</v>
      </c>
      <c r="L16" s="201" t="s">
        <v>1439</v>
      </c>
      <c r="M16" s="201" t="s">
        <v>338</v>
      </c>
      <c r="N16" s="206" t="s">
        <v>339</v>
      </c>
      <c r="O16" s="207">
        <v>41275</v>
      </c>
      <c r="P16" s="208">
        <v>10</v>
      </c>
      <c r="Q16" s="209">
        <v>41264</v>
      </c>
      <c r="R16" s="270" t="s">
        <v>290</v>
      </c>
      <c r="S16" s="264" t="s">
        <v>341</v>
      </c>
      <c r="T16" s="205" t="s">
        <v>840</v>
      </c>
      <c r="U16" s="206"/>
      <c r="V16" s="206" t="s">
        <v>662</v>
      </c>
      <c r="W16" s="208">
        <f>3/0.84</f>
        <v>3.5714285714285716</v>
      </c>
      <c r="X16" s="276">
        <f t="shared" si="0"/>
        <v>31.5</v>
      </c>
      <c r="Y16" s="270"/>
      <c r="Z16" s="302">
        <v>15</v>
      </c>
      <c r="AA16" s="212"/>
      <c r="AB16" s="213"/>
      <c r="AC16" s="275">
        <f t="shared" si="1"/>
        <v>16.5</v>
      </c>
      <c r="AD16" s="275">
        <v>15</v>
      </c>
      <c r="AE16" s="275">
        <v>0</v>
      </c>
      <c r="AF16" s="275">
        <v>1.5</v>
      </c>
      <c r="AG16" s="214">
        <v>1.7</v>
      </c>
      <c r="AH16" s="214">
        <v>1.7</v>
      </c>
      <c r="AI16" s="214">
        <f>8*1.7</f>
        <v>13.6</v>
      </c>
      <c r="AJ16" s="215" t="s">
        <v>336</v>
      </c>
      <c r="AK16" s="215" t="s">
        <v>337</v>
      </c>
      <c r="AL16" s="215" t="s">
        <v>1393</v>
      </c>
      <c r="AM16" s="211"/>
      <c r="AN16" s="216"/>
      <c r="AO16" s="208"/>
      <c r="AP16" s="216"/>
      <c r="AQ16" s="372" t="s">
        <v>1642</v>
      </c>
      <c r="AR16" s="203" t="s">
        <v>340</v>
      </c>
    </row>
    <row r="17" spans="1:44" ht="42" customHeight="1" x14ac:dyDescent="0.2">
      <c r="A17" s="21" t="s">
        <v>34</v>
      </c>
      <c r="B17" s="22" t="s">
        <v>1095</v>
      </c>
      <c r="C17" s="22"/>
      <c r="D17" s="56" t="s">
        <v>317</v>
      </c>
      <c r="E17" s="24" t="s">
        <v>112</v>
      </c>
      <c r="F17" s="26" t="s">
        <v>123</v>
      </c>
      <c r="G17" s="24" t="s">
        <v>316</v>
      </c>
      <c r="H17" s="24"/>
      <c r="I17" s="255" t="s">
        <v>322</v>
      </c>
      <c r="J17" s="263"/>
      <c r="K17" s="28" t="s">
        <v>318</v>
      </c>
      <c r="L17" s="22" t="s">
        <v>1435</v>
      </c>
      <c r="M17" s="22" t="s">
        <v>27</v>
      </c>
      <c r="N17" s="45" t="s">
        <v>319</v>
      </c>
      <c r="O17" s="67">
        <v>41275</v>
      </c>
      <c r="P17" s="82"/>
      <c r="Q17" s="27">
        <v>41286</v>
      </c>
      <c r="R17" s="255" t="s">
        <v>290</v>
      </c>
      <c r="S17" s="255" t="s">
        <v>289</v>
      </c>
      <c r="T17" s="28"/>
      <c r="U17" s="45"/>
      <c r="V17" s="91"/>
      <c r="W17" s="120"/>
      <c r="X17" s="139">
        <f t="shared" si="0"/>
        <v>201.56390000000002</v>
      </c>
      <c r="Y17" s="255"/>
      <c r="Z17" s="140">
        <f>236.3*0.853-AF17</f>
        <v>201.10465000000002</v>
      </c>
      <c r="AA17" s="74"/>
      <c r="AB17" s="72"/>
      <c r="AC17" s="76">
        <f t="shared" si="1"/>
        <v>0.45924999999999999</v>
      </c>
      <c r="AD17" s="76">
        <v>0</v>
      </c>
      <c r="AE17" s="76">
        <v>0</v>
      </c>
      <c r="AF17" s="76">
        <f>0.55*0.835</f>
        <v>0.45924999999999999</v>
      </c>
      <c r="AG17" s="80">
        <f>AI17/8</f>
        <v>1.2500000000000001E-2</v>
      </c>
      <c r="AH17" s="80">
        <v>2.5000000000000001E-2</v>
      </c>
      <c r="AI17" s="80">
        <f>AH17*4</f>
        <v>0.1</v>
      </c>
      <c r="AJ17" s="62" t="s">
        <v>323</v>
      </c>
      <c r="AK17" s="62" t="s">
        <v>324</v>
      </c>
      <c r="AL17" s="362" t="s">
        <v>1394</v>
      </c>
      <c r="AM17" s="38"/>
      <c r="AN17" s="41"/>
      <c r="AO17" s="82"/>
      <c r="AP17" s="41"/>
      <c r="AQ17" s="328" t="s">
        <v>320</v>
      </c>
      <c r="AR17" s="24" t="s">
        <v>321</v>
      </c>
    </row>
    <row r="18" spans="1:44" ht="54.75" customHeight="1" x14ac:dyDescent="0.2">
      <c r="A18" s="21" t="s">
        <v>35</v>
      </c>
      <c r="B18" s="22" t="s">
        <v>1109</v>
      </c>
      <c r="C18" s="22"/>
      <c r="D18" s="56" t="s">
        <v>326</v>
      </c>
      <c r="E18" s="24" t="s">
        <v>106</v>
      </c>
      <c r="F18" s="26" t="s">
        <v>108</v>
      </c>
      <c r="G18" s="24" t="s">
        <v>46</v>
      </c>
      <c r="H18" s="24"/>
      <c r="I18" s="255" t="s">
        <v>1268</v>
      </c>
      <c r="J18" s="263" t="s">
        <v>344</v>
      </c>
      <c r="K18" s="28" t="s">
        <v>342</v>
      </c>
      <c r="L18" s="22" t="s">
        <v>1439</v>
      </c>
      <c r="M18" s="28" t="s">
        <v>608</v>
      </c>
      <c r="N18" s="45" t="s">
        <v>343</v>
      </c>
      <c r="O18" s="67">
        <v>41275</v>
      </c>
      <c r="P18" s="82">
        <v>10</v>
      </c>
      <c r="Q18" s="27">
        <v>41341</v>
      </c>
      <c r="R18" s="255" t="s">
        <v>290</v>
      </c>
      <c r="S18" s="255" t="s">
        <v>289</v>
      </c>
      <c r="T18" s="28"/>
      <c r="U18" s="45"/>
      <c r="V18" s="91"/>
      <c r="W18" s="120"/>
      <c r="X18" s="139">
        <f t="shared" si="0"/>
        <v>160</v>
      </c>
      <c r="Y18" s="255"/>
      <c r="Z18" s="140">
        <v>130</v>
      </c>
      <c r="AA18" s="74" t="s">
        <v>345</v>
      </c>
      <c r="AB18" s="72"/>
      <c r="AC18" s="76">
        <f t="shared" si="1"/>
        <v>30</v>
      </c>
      <c r="AD18" s="76">
        <v>30</v>
      </c>
      <c r="AE18" s="76">
        <v>0</v>
      </c>
      <c r="AF18" s="76">
        <v>0</v>
      </c>
      <c r="AG18" s="58">
        <f>AI18/8</f>
        <v>6</v>
      </c>
      <c r="AH18" s="58">
        <v>12</v>
      </c>
      <c r="AI18" s="58">
        <f>AH18*4</f>
        <v>48</v>
      </c>
      <c r="AJ18" s="62" t="s">
        <v>354</v>
      </c>
      <c r="AK18" s="62" t="s">
        <v>355</v>
      </c>
      <c r="AL18" s="62" t="s">
        <v>1463</v>
      </c>
      <c r="AM18" s="38"/>
      <c r="AN18" s="41"/>
      <c r="AO18" s="82"/>
      <c r="AP18" s="41"/>
      <c r="AQ18" s="255" t="s">
        <v>292</v>
      </c>
      <c r="AR18" s="24" t="s">
        <v>340</v>
      </c>
    </row>
    <row r="19" spans="1:44" ht="39.75" customHeight="1" x14ac:dyDescent="0.2">
      <c r="A19" s="21" t="s">
        <v>36</v>
      </c>
      <c r="B19" s="22" t="s">
        <v>1098</v>
      </c>
      <c r="C19" s="22"/>
      <c r="D19" s="56" t="s">
        <v>2249</v>
      </c>
      <c r="E19" s="88" t="s">
        <v>106</v>
      </c>
      <c r="F19" s="89" t="s">
        <v>107</v>
      </c>
      <c r="G19" s="90" t="s">
        <v>346</v>
      </c>
      <c r="H19" s="90" t="s">
        <v>350</v>
      </c>
      <c r="I19" s="255" t="s">
        <v>348</v>
      </c>
      <c r="J19" s="263" t="s">
        <v>1269</v>
      </c>
      <c r="K19" s="28" t="s">
        <v>351</v>
      </c>
      <c r="L19" s="22" t="s">
        <v>1436</v>
      </c>
      <c r="M19" s="28" t="s">
        <v>298</v>
      </c>
      <c r="N19" s="45" t="s">
        <v>347</v>
      </c>
      <c r="O19" s="67">
        <v>41275</v>
      </c>
      <c r="P19" s="82">
        <v>8</v>
      </c>
      <c r="Q19" s="27">
        <v>41355</v>
      </c>
      <c r="R19" s="255" t="s">
        <v>290</v>
      </c>
      <c r="S19" s="255" t="s">
        <v>353</v>
      </c>
      <c r="T19" s="223"/>
      <c r="U19" s="296"/>
      <c r="V19" s="91"/>
      <c r="W19" s="120"/>
      <c r="X19" s="139">
        <f t="shared" si="0"/>
        <v>370.02699999999999</v>
      </c>
      <c r="Y19" s="255" t="s">
        <v>352</v>
      </c>
      <c r="Z19" s="140">
        <v>58.264000000000003</v>
      </c>
      <c r="AA19" s="74"/>
      <c r="AB19" s="72"/>
      <c r="AC19" s="76">
        <f t="shared" si="1"/>
        <v>311.76299999999998</v>
      </c>
      <c r="AD19" s="76">
        <v>310</v>
      </c>
      <c r="AE19" s="76">
        <v>0</v>
      </c>
      <c r="AF19" s="76">
        <v>1.7629999999999999</v>
      </c>
      <c r="AG19" s="69">
        <f>AI19/8</f>
        <v>0.42499999999999999</v>
      </c>
      <c r="AH19" s="69">
        <v>0.85</v>
      </c>
      <c r="AI19" s="58">
        <f>AH19*4</f>
        <v>3.4</v>
      </c>
      <c r="AJ19" s="62"/>
      <c r="AK19" s="62"/>
      <c r="AL19" s="362" t="s">
        <v>1470</v>
      </c>
      <c r="AM19" s="38"/>
      <c r="AN19" s="41"/>
      <c r="AO19" s="82"/>
      <c r="AP19" s="41"/>
      <c r="AQ19" s="255" t="s">
        <v>292</v>
      </c>
      <c r="AR19" s="24"/>
    </row>
    <row r="20" spans="1:44" ht="52.5" customHeight="1" x14ac:dyDescent="0.2">
      <c r="A20" s="21" t="s">
        <v>37</v>
      </c>
      <c r="B20" s="22" t="s">
        <v>1094</v>
      </c>
      <c r="C20" s="22"/>
      <c r="D20" s="56" t="s">
        <v>357</v>
      </c>
      <c r="E20" s="88" t="s">
        <v>106</v>
      </c>
      <c r="F20" s="89" t="s">
        <v>107</v>
      </c>
      <c r="G20" s="90" t="s">
        <v>363</v>
      </c>
      <c r="H20" s="90"/>
      <c r="I20" s="255" t="s">
        <v>358</v>
      </c>
      <c r="J20" s="263" t="s">
        <v>1270</v>
      </c>
      <c r="K20" s="28" t="s">
        <v>359</v>
      </c>
      <c r="L20" s="341" t="s">
        <v>1435</v>
      </c>
      <c r="M20" s="28" t="s">
        <v>92</v>
      </c>
      <c r="N20" s="45"/>
      <c r="O20" s="67">
        <v>41275</v>
      </c>
      <c r="P20" s="82">
        <v>8</v>
      </c>
      <c r="Q20" s="27">
        <v>41366</v>
      </c>
      <c r="R20" s="255" t="s">
        <v>290</v>
      </c>
      <c r="S20" s="489" t="s">
        <v>361</v>
      </c>
      <c r="T20" s="223"/>
      <c r="U20" s="296"/>
      <c r="V20" s="91"/>
      <c r="W20" s="120"/>
      <c r="X20" s="139">
        <f t="shared" si="0"/>
        <v>1000</v>
      </c>
      <c r="Y20" s="255"/>
      <c r="Z20" s="140">
        <v>500</v>
      </c>
      <c r="AA20" s="74"/>
      <c r="AB20" s="72"/>
      <c r="AC20" s="76">
        <f t="shared" si="1"/>
        <v>500</v>
      </c>
      <c r="AD20" s="76">
        <f>500-25.5</f>
        <v>474.5</v>
      </c>
      <c r="AE20" s="76">
        <v>25</v>
      </c>
      <c r="AF20" s="76">
        <v>0.5</v>
      </c>
      <c r="AG20" s="69"/>
      <c r="AH20" s="69">
        <v>0.2</v>
      </c>
      <c r="AI20" s="58"/>
      <c r="AJ20" s="62" t="s">
        <v>362</v>
      </c>
      <c r="AK20" s="62" t="s">
        <v>362</v>
      </c>
      <c r="AL20" s="350" t="s">
        <v>1271</v>
      </c>
      <c r="AM20" s="38">
        <v>20</v>
      </c>
      <c r="AN20" s="41"/>
      <c r="AO20" s="82"/>
      <c r="AP20" s="41"/>
      <c r="AQ20" s="255" t="s">
        <v>292</v>
      </c>
      <c r="AR20" s="24" t="s">
        <v>360</v>
      </c>
    </row>
    <row r="21" spans="1:44" ht="40.5" customHeight="1" x14ac:dyDescent="0.2">
      <c r="A21" s="21" t="s">
        <v>38</v>
      </c>
      <c r="B21" s="22" t="s">
        <v>1065</v>
      </c>
      <c r="C21" s="22"/>
      <c r="D21" s="56" t="s">
        <v>374</v>
      </c>
      <c r="E21" s="88" t="s">
        <v>109</v>
      </c>
      <c r="F21" s="89" t="s">
        <v>125</v>
      </c>
      <c r="G21" s="90" t="s">
        <v>170</v>
      </c>
      <c r="H21" s="90"/>
      <c r="I21" s="255" t="s">
        <v>375</v>
      </c>
      <c r="J21" s="263" t="s">
        <v>1272</v>
      </c>
      <c r="K21" s="28" t="s">
        <v>376</v>
      </c>
      <c r="L21" s="22" t="s">
        <v>1420</v>
      </c>
      <c r="M21" s="28" t="s">
        <v>381</v>
      </c>
      <c r="N21" s="28" t="s">
        <v>382</v>
      </c>
      <c r="O21" s="67">
        <v>41275</v>
      </c>
      <c r="P21" s="82">
        <v>8</v>
      </c>
      <c r="Q21" s="27">
        <v>41381</v>
      </c>
      <c r="R21" s="255" t="s">
        <v>312</v>
      </c>
      <c r="S21" s="489" t="s">
        <v>378</v>
      </c>
      <c r="T21" s="223"/>
      <c r="U21" s="296"/>
      <c r="V21" s="91"/>
      <c r="W21" s="120"/>
      <c r="X21" s="139">
        <f t="shared" si="0"/>
        <v>339.45497630331755</v>
      </c>
      <c r="Y21" s="255"/>
      <c r="Z21" s="140">
        <f>(285.5+1)/0.844</f>
        <v>339.45497630331755</v>
      </c>
      <c r="AA21" s="74"/>
      <c r="AB21" s="72"/>
      <c r="AC21" s="76">
        <f t="shared" si="1"/>
        <v>0</v>
      </c>
      <c r="AD21" s="76">
        <v>0</v>
      </c>
      <c r="AE21" s="76">
        <v>0</v>
      </c>
      <c r="AF21" s="76">
        <v>0</v>
      </c>
      <c r="AG21" s="69">
        <v>0.27500000000000002</v>
      </c>
      <c r="AH21" s="69">
        <f>2*8.25846/30*8/30*4</f>
        <v>0.58726826666666665</v>
      </c>
      <c r="AI21" s="58">
        <f>AH21*8/2</f>
        <v>2.3490730666666666</v>
      </c>
      <c r="AJ21" s="62"/>
      <c r="AK21" s="62" t="s">
        <v>379</v>
      </c>
      <c r="AL21" s="350" t="s">
        <v>1398</v>
      </c>
      <c r="AM21" s="38"/>
      <c r="AN21" s="41"/>
      <c r="AO21" s="82"/>
      <c r="AP21" s="41"/>
      <c r="AQ21" s="255" t="s">
        <v>377</v>
      </c>
      <c r="AR21" s="24" t="s">
        <v>393</v>
      </c>
    </row>
    <row r="22" spans="1:44" ht="39.75" customHeight="1" x14ac:dyDescent="0.2">
      <c r="A22" s="200" t="s">
        <v>39</v>
      </c>
      <c r="B22" s="201" t="s">
        <v>1082</v>
      </c>
      <c r="C22" s="201"/>
      <c r="D22" s="202" t="s">
        <v>380</v>
      </c>
      <c r="E22" s="228" t="s">
        <v>109</v>
      </c>
      <c r="F22" s="229" t="s">
        <v>125</v>
      </c>
      <c r="G22" s="217" t="s">
        <v>170</v>
      </c>
      <c r="H22" s="217"/>
      <c r="I22" s="270" t="s">
        <v>1399</v>
      </c>
      <c r="J22" s="264"/>
      <c r="K22" s="205" t="s">
        <v>384</v>
      </c>
      <c r="L22" s="201" t="s">
        <v>1420</v>
      </c>
      <c r="M22" s="205" t="s">
        <v>381</v>
      </c>
      <c r="N22" s="206" t="s">
        <v>383</v>
      </c>
      <c r="O22" s="207">
        <v>41275</v>
      </c>
      <c r="P22" s="208">
        <v>4</v>
      </c>
      <c r="Q22" s="209">
        <v>41381</v>
      </c>
      <c r="R22" s="270" t="s">
        <v>290</v>
      </c>
      <c r="S22" s="269" t="s">
        <v>385</v>
      </c>
      <c r="T22" s="205" t="s">
        <v>840</v>
      </c>
      <c r="U22" s="206"/>
      <c r="V22" s="218" t="s">
        <v>863</v>
      </c>
      <c r="W22" s="210">
        <v>0</v>
      </c>
      <c r="X22" s="276">
        <f t="shared" si="0"/>
        <v>251.18483412322277</v>
      </c>
      <c r="Y22" s="270"/>
      <c r="Z22" s="302">
        <v>0</v>
      </c>
      <c r="AA22" s="212"/>
      <c r="AB22" s="220"/>
      <c r="AC22" s="275">
        <f t="shared" si="1"/>
        <v>251.18483412322277</v>
      </c>
      <c r="AD22" s="275">
        <f>212/0.844</f>
        <v>251.18483412322277</v>
      </c>
      <c r="AE22" s="275">
        <v>0</v>
      </c>
      <c r="AF22" s="275">
        <v>0</v>
      </c>
      <c r="AG22" s="221">
        <v>0.32900000000000001</v>
      </c>
      <c r="AH22" s="221">
        <f>AG22</f>
        <v>0.32900000000000001</v>
      </c>
      <c r="AI22" s="214">
        <f>AG22*8</f>
        <v>2.6320000000000001</v>
      </c>
      <c r="AJ22" s="215"/>
      <c r="AK22" s="215" t="s">
        <v>379</v>
      </c>
      <c r="AL22" s="353" t="s">
        <v>1273</v>
      </c>
      <c r="AM22" s="211"/>
      <c r="AN22" s="216"/>
      <c r="AO22" s="208"/>
      <c r="AP22" s="216"/>
      <c r="AQ22" s="270" t="s">
        <v>1400</v>
      </c>
      <c r="AR22" s="203"/>
    </row>
    <row r="23" spans="1:44" ht="36" customHeight="1" x14ac:dyDescent="0.2">
      <c r="A23" s="200" t="s">
        <v>47</v>
      </c>
      <c r="B23" s="201" t="s">
        <v>1081</v>
      </c>
      <c r="C23" s="201"/>
      <c r="D23" s="202" t="s">
        <v>387</v>
      </c>
      <c r="E23" s="228" t="s">
        <v>109</v>
      </c>
      <c r="F23" s="229" t="s">
        <v>125</v>
      </c>
      <c r="G23" s="217" t="s">
        <v>170</v>
      </c>
      <c r="H23" s="217" t="s">
        <v>386</v>
      </c>
      <c r="I23" s="270" t="s">
        <v>388</v>
      </c>
      <c r="J23" s="264" t="s">
        <v>389</v>
      </c>
      <c r="K23" s="205" t="s">
        <v>391</v>
      </c>
      <c r="L23" s="205" t="s">
        <v>1437</v>
      </c>
      <c r="M23" s="205" t="s">
        <v>390</v>
      </c>
      <c r="N23" s="206"/>
      <c r="O23" s="207">
        <v>41275</v>
      </c>
      <c r="P23" s="208">
        <v>5</v>
      </c>
      <c r="Q23" s="209">
        <v>41381</v>
      </c>
      <c r="R23" s="270" t="s">
        <v>290</v>
      </c>
      <c r="S23" s="269" t="s">
        <v>394</v>
      </c>
      <c r="T23" s="205" t="s">
        <v>840</v>
      </c>
      <c r="U23" s="206"/>
      <c r="V23" s="218" t="s">
        <v>863</v>
      </c>
      <c r="W23" s="219">
        <v>0.96</v>
      </c>
      <c r="X23" s="276">
        <f t="shared" si="0"/>
        <v>7.109004739336493</v>
      </c>
      <c r="Y23" s="270"/>
      <c r="Z23" s="302">
        <v>0</v>
      </c>
      <c r="AA23" s="212"/>
      <c r="AB23" s="220"/>
      <c r="AC23" s="275">
        <f t="shared" si="1"/>
        <v>7.109004739336493</v>
      </c>
      <c r="AD23" s="275">
        <f>6/0.844</f>
        <v>7.109004739336493</v>
      </c>
      <c r="AE23" s="275">
        <v>0</v>
      </c>
      <c r="AF23" s="275">
        <v>0</v>
      </c>
      <c r="AG23" s="221">
        <f>0.25227/30</f>
        <v>8.4089999999999998E-3</v>
      </c>
      <c r="AH23" s="221"/>
      <c r="AI23" s="214"/>
      <c r="AJ23" s="215"/>
      <c r="AK23" s="215" t="s">
        <v>392</v>
      </c>
      <c r="AL23" s="353"/>
      <c r="AM23" s="211"/>
      <c r="AN23" s="216"/>
      <c r="AO23" s="208"/>
      <c r="AP23" s="216"/>
      <c r="AQ23" s="270" t="s">
        <v>1400</v>
      </c>
      <c r="AR23" s="203"/>
    </row>
    <row r="24" spans="1:44" ht="28.5" customHeight="1" x14ac:dyDescent="0.2">
      <c r="A24" s="200" t="s">
        <v>48</v>
      </c>
      <c r="B24" s="201" t="s">
        <v>1083</v>
      </c>
      <c r="C24" s="201"/>
      <c r="D24" s="202" t="s">
        <v>395</v>
      </c>
      <c r="E24" s="228" t="s">
        <v>109</v>
      </c>
      <c r="F24" s="229" t="s">
        <v>125</v>
      </c>
      <c r="G24" s="217" t="s">
        <v>170</v>
      </c>
      <c r="H24" s="217" t="s">
        <v>401</v>
      </c>
      <c r="I24" s="270" t="s">
        <v>399</v>
      </c>
      <c r="J24" s="264" t="s">
        <v>396</v>
      </c>
      <c r="K24" s="205" t="s">
        <v>398</v>
      </c>
      <c r="L24" s="201" t="s">
        <v>1435</v>
      </c>
      <c r="M24" s="205" t="s">
        <v>94</v>
      </c>
      <c r="N24" s="206" t="s">
        <v>397</v>
      </c>
      <c r="O24" s="207">
        <v>41275</v>
      </c>
      <c r="P24" s="208">
        <v>2</v>
      </c>
      <c r="Q24" s="209">
        <v>41381</v>
      </c>
      <c r="R24" s="270" t="s">
        <v>290</v>
      </c>
      <c r="S24" s="269" t="s">
        <v>400</v>
      </c>
      <c r="T24" s="205" t="s">
        <v>840</v>
      </c>
      <c r="U24" s="206"/>
      <c r="V24" s="218" t="s">
        <v>863</v>
      </c>
      <c r="W24" s="210">
        <v>0</v>
      </c>
      <c r="X24" s="276">
        <f t="shared" si="0"/>
        <v>1.2440758293838863</v>
      </c>
      <c r="Y24" s="270"/>
      <c r="Z24" s="302">
        <v>0</v>
      </c>
      <c r="AA24" s="212"/>
      <c r="AB24" s="220"/>
      <c r="AC24" s="275">
        <f t="shared" si="1"/>
        <v>1.2440758293838863</v>
      </c>
      <c r="AD24" s="275">
        <f>1.05/0.844</f>
        <v>1.2440758293838863</v>
      </c>
      <c r="AE24" s="275">
        <v>0</v>
      </c>
      <c r="AF24" s="275">
        <v>0</v>
      </c>
      <c r="AG24" s="221">
        <f>0.1222/20</f>
        <v>6.11E-3</v>
      </c>
      <c r="AH24" s="221">
        <f t="shared" ref="AH24:AH29" si="2">AG24</f>
        <v>6.11E-3</v>
      </c>
      <c r="AI24" s="221">
        <f>AH24*6</f>
        <v>3.6659999999999998E-2</v>
      </c>
      <c r="AJ24" s="215"/>
      <c r="AK24" s="215" t="s">
        <v>402</v>
      </c>
      <c r="AL24" s="353" t="s">
        <v>1468</v>
      </c>
      <c r="AM24" s="211"/>
      <c r="AN24" s="216"/>
      <c r="AO24" s="208"/>
      <c r="AP24" s="216"/>
      <c r="AQ24" s="270" t="s">
        <v>403</v>
      </c>
      <c r="AR24" s="203"/>
    </row>
    <row r="25" spans="1:44" ht="29.25" customHeight="1" x14ac:dyDescent="0.2">
      <c r="A25" s="21" t="s">
        <v>49</v>
      </c>
      <c r="B25" s="22" t="s">
        <v>1097</v>
      </c>
      <c r="C25" s="22"/>
      <c r="D25" s="56" t="s">
        <v>404</v>
      </c>
      <c r="E25" s="88" t="s">
        <v>109</v>
      </c>
      <c r="F25" s="89" t="s">
        <v>125</v>
      </c>
      <c r="G25" s="90" t="s">
        <v>170</v>
      </c>
      <c r="H25" s="90" t="s">
        <v>406</v>
      </c>
      <c r="I25" s="255" t="s">
        <v>407</v>
      </c>
      <c r="J25" s="263" t="s">
        <v>408</v>
      </c>
      <c r="K25" s="28" t="s">
        <v>409</v>
      </c>
      <c r="L25" s="22" t="s">
        <v>1435</v>
      </c>
      <c r="M25" s="28" t="s">
        <v>405</v>
      </c>
      <c r="N25" s="45" t="s">
        <v>91</v>
      </c>
      <c r="O25" s="67">
        <v>41640</v>
      </c>
      <c r="P25" s="82">
        <v>2</v>
      </c>
      <c r="Q25" s="27">
        <v>41381</v>
      </c>
      <c r="R25" s="255" t="s">
        <v>290</v>
      </c>
      <c r="S25" s="309" t="s">
        <v>410</v>
      </c>
      <c r="T25" s="223"/>
      <c r="U25" s="296"/>
      <c r="V25" s="91"/>
      <c r="W25" s="120"/>
      <c r="X25" s="139">
        <f t="shared" si="0"/>
        <v>302.13270142180096</v>
      </c>
      <c r="Y25" s="255"/>
      <c r="Z25" s="140">
        <v>0</v>
      </c>
      <c r="AA25" s="74"/>
      <c r="AB25" s="72"/>
      <c r="AC25" s="76">
        <f t="shared" si="1"/>
        <v>302.13270142180096</v>
      </c>
      <c r="AD25" s="76">
        <f>127.5/0.844</f>
        <v>151.06635071090048</v>
      </c>
      <c r="AE25" s="76">
        <f>127.5/0.844</f>
        <v>151.06635071090048</v>
      </c>
      <c r="AF25" s="76">
        <v>0</v>
      </c>
      <c r="AG25" s="69">
        <f>36/35</f>
        <v>1.0285714285714285</v>
      </c>
      <c r="AH25" s="69">
        <f t="shared" si="2"/>
        <v>1.0285714285714285</v>
      </c>
      <c r="AI25" s="58">
        <f>AH25*5</f>
        <v>5.1428571428571423</v>
      </c>
      <c r="AJ25" s="62"/>
      <c r="AK25" s="62" t="s">
        <v>411</v>
      </c>
      <c r="AL25" s="350" t="s">
        <v>1274</v>
      </c>
      <c r="AM25" s="38">
        <v>450</v>
      </c>
      <c r="AN25" s="41"/>
      <c r="AO25" s="82"/>
      <c r="AP25" s="41"/>
      <c r="AQ25" s="329" t="s">
        <v>412</v>
      </c>
      <c r="AR25" s="24"/>
    </row>
    <row r="26" spans="1:44" ht="27.75" customHeight="1" x14ac:dyDescent="0.2">
      <c r="A26" s="21" t="s">
        <v>50</v>
      </c>
      <c r="B26" s="22" t="s">
        <v>1084</v>
      </c>
      <c r="C26" s="22"/>
      <c r="D26" s="56" t="s">
        <v>413</v>
      </c>
      <c r="E26" s="88" t="s">
        <v>109</v>
      </c>
      <c r="F26" s="89" t="s">
        <v>125</v>
      </c>
      <c r="G26" s="90" t="s">
        <v>170</v>
      </c>
      <c r="H26" s="90" t="s">
        <v>417</v>
      </c>
      <c r="I26" s="255" t="s">
        <v>414</v>
      </c>
      <c r="J26" s="263" t="s">
        <v>420</v>
      </c>
      <c r="K26" s="28" t="s">
        <v>409</v>
      </c>
      <c r="L26" s="22" t="s">
        <v>1435</v>
      </c>
      <c r="M26" s="22" t="s">
        <v>415</v>
      </c>
      <c r="N26" s="45" t="s">
        <v>89</v>
      </c>
      <c r="O26" s="67">
        <v>41275</v>
      </c>
      <c r="P26" s="82">
        <v>2</v>
      </c>
      <c r="Q26" s="27">
        <v>41381</v>
      </c>
      <c r="R26" s="255" t="s">
        <v>290</v>
      </c>
      <c r="S26" s="489" t="s">
        <v>416</v>
      </c>
      <c r="T26" s="223"/>
      <c r="U26" s="296"/>
      <c r="V26" s="91"/>
      <c r="W26" s="120"/>
      <c r="X26" s="139">
        <f t="shared" si="0"/>
        <v>55.687203791469194</v>
      </c>
      <c r="Y26" s="255"/>
      <c r="Z26" s="140">
        <v>0</v>
      </c>
      <c r="AA26" s="74"/>
      <c r="AB26" s="72"/>
      <c r="AC26" s="76">
        <f t="shared" si="1"/>
        <v>55.687203791469194</v>
      </c>
      <c r="AD26" s="76">
        <f>47/0.844</f>
        <v>55.687203791469194</v>
      </c>
      <c r="AE26" s="76">
        <v>0</v>
      </c>
      <c r="AF26" s="76">
        <v>0</v>
      </c>
      <c r="AG26" s="69">
        <f>1.4/15</f>
        <v>9.3333333333333324E-2</v>
      </c>
      <c r="AH26" s="69">
        <f t="shared" si="2"/>
        <v>9.3333333333333324E-2</v>
      </c>
      <c r="AI26" s="58">
        <f>AH26*6</f>
        <v>0.55999999999999994</v>
      </c>
      <c r="AJ26" s="62"/>
      <c r="AK26" s="62" t="s">
        <v>411</v>
      </c>
      <c r="AL26" s="350" t="s">
        <v>1275</v>
      </c>
      <c r="AM26" s="38">
        <v>30</v>
      </c>
      <c r="AN26" s="41"/>
      <c r="AO26" s="82"/>
      <c r="AP26" s="41"/>
      <c r="AQ26" s="329" t="s">
        <v>412</v>
      </c>
      <c r="AR26" s="24"/>
    </row>
    <row r="27" spans="1:44" ht="30" customHeight="1" x14ac:dyDescent="0.2">
      <c r="A27" s="21" t="s">
        <v>51</v>
      </c>
      <c r="B27" s="22" t="s">
        <v>1088</v>
      </c>
      <c r="C27" s="22"/>
      <c r="D27" s="56" t="s">
        <v>418</v>
      </c>
      <c r="E27" s="88" t="s">
        <v>109</v>
      </c>
      <c r="F27" s="89" t="s">
        <v>125</v>
      </c>
      <c r="G27" s="90" t="s">
        <v>170</v>
      </c>
      <c r="H27" s="90" t="s">
        <v>417</v>
      </c>
      <c r="I27" s="255" t="s">
        <v>419</v>
      </c>
      <c r="J27" s="263" t="s">
        <v>421</v>
      </c>
      <c r="K27" s="28" t="s">
        <v>409</v>
      </c>
      <c r="L27" s="22" t="s">
        <v>1435</v>
      </c>
      <c r="M27" s="22" t="s">
        <v>415</v>
      </c>
      <c r="N27" s="45" t="s">
        <v>89</v>
      </c>
      <c r="O27" s="67">
        <v>42005</v>
      </c>
      <c r="P27" s="82">
        <v>4</v>
      </c>
      <c r="Q27" s="27">
        <v>41381</v>
      </c>
      <c r="R27" s="255" t="s">
        <v>290</v>
      </c>
      <c r="S27" s="338" t="s">
        <v>416</v>
      </c>
      <c r="T27" s="223"/>
      <c r="U27" s="296"/>
      <c r="V27" s="91"/>
      <c r="W27" s="120"/>
      <c r="X27" s="139">
        <f t="shared" si="0"/>
        <v>131.51658767772511</v>
      </c>
      <c r="Y27" s="255"/>
      <c r="Z27" s="140">
        <v>0</v>
      </c>
      <c r="AA27" s="74"/>
      <c r="AB27" s="72"/>
      <c r="AC27" s="76">
        <f t="shared" si="1"/>
        <v>131.51658767772511</v>
      </c>
      <c r="AD27" s="76">
        <f>111/0.844</f>
        <v>131.51658767772511</v>
      </c>
      <c r="AE27" s="76">
        <v>0</v>
      </c>
      <c r="AF27" s="76">
        <v>0</v>
      </c>
      <c r="AG27" s="69">
        <f>5.3/15</f>
        <v>0.35333333333333333</v>
      </c>
      <c r="AH27" s="69">
        <f t="shared" si="2"/>
        <v>0.35333333333333333</v>
      </c>
      <c r="AI27" s="58">
        <f>AG27*2</f>
        <v>0.70666666666666667</v>
      </c>
      <c r="AJ27" s="62"/>
      <c r="AK27" s="62" t="s">
        <v>411</v>
      </c>
      <c r="AL27" s="350" t="s">
        <v>1275</v>
      </c>
      <c r="AM27" s="38">
        <v>47</v>
      </c>
      <c r="AN27" s="41"/>
      <c r="AO27" s="82"/>
      <c r="AP27" s="41"/>
      <c r="AQ27" s="329" t="s">
        <v>412</v>
      </c>
      <c r="AR27" s="24"/>
    </row>
    <row r="28" spans="1:44" ht="27" customHeight="1" x14ac:dyDescent="0.2">
      <c r="A28" s="21" t="s">
        <v>52</v>
      </c>
      <c r="B28" s="22" t="s">
        <v>1090</v>
      </c>
      <c r="C28" s="22"/>
      <c r="D28" s="56" t="s">
        <v>422</v>
      </c>
      <c r="E28" s="88" t="s">
        <v>109</v>
      </c>
      <c r="F28" s="89" t="s">
        <v>125</v>
      </c>
      <c r="G28" s="90" t="s">
        <v>170</v>
      </c>
      <c r="H28" s="90" t="s">
        <v>423</v>
      </c>
      <c r="I28" s="255" t="s">
        <v>424</v>
      </c>
      <c r="J28" s="263" t="s">
        <v>425</v>
      </c>
      <c r="K28" s="28" t="s">
        <v>409</v>
      </c>
      <c r="L28" s="22" t="s">
        <v>1435</v>
      </c>
      <c r="M28" s="22" t="s">
        <v>415</v>
      </c>
      <c r="N28" s="45" t="s">
        <v>89</v>
      </c>
      <c r="O28" s="67">
        <v>42005</v>
      </c>
      <c r="P28" s="82">
        <v>6</v>
      </c>
      <c r="Q28" s="27">
        <v>41381</v>
      </c>
      <c r="R28" s="255" t="s">
        <v>290</v>
      </c>
      <c r="S28" s="381" t="s">
        <v>426</v>
      </c>
      <c r="T28" s="223"/>
      <c r="U28" s="296"/>
      <c r="V28" s="91"/>
      <c r="W28" s="120"/>
      <c r="X28" s="139">
        <f t="shared" si="0"/>
        <v>1130.3317535545025</v>
      </c>
      <c r="Y28" s="255"/>
      <c r="Z28" s="140">
        <v>0</v>
      </c>
      <c r="AA28" s="74"/>
      <c r="AB28" s="72"/>
      <c r="AC28" s="76">
        <f t="shared" si="1"/>
        <v>1130.3317535545025</v>
      </c>
      <c r="AD28" s="76">
        <v>0</v>
      </c>
      <c r="AE28" s="76">
        <f>954/0.844</f>
        <v>1130.3317535545025</v>
      </c>
      <c r="AF28" s="76">
        <v>0</v>
      </c>
      <c r="AG28" s="69">
        <f>56/40</f>
        <v>1.4</v>
      </c>
      <c r="AH28" s="69">
        <f t="shared" si="2"/>
        <v>1.4</v>
      </c>
      <c r="AI28" s="58">
        <f>AH28*1</f>
        <v>1.4</v>
      </c>
      <c r="AJ28" s="62"/>
      <c r="AK28" s="62" t="s">
        <v>411</v>
      </c>
      <c r="AL28" s="350" t="s">
        <v>1274</v>
      </c>
      <c r="AM28" s="38">
        <v>600</v>
      </c>
      <c r="AN28" s="41"/>
      <c r="AO28" s="82"/>
      <c r="AP28" s="41"/>
      <c r="AQ28" s="329" t="s">
        <v>412</v>
      </c>
      <c r="AR28" s="24"/>
    </row>
    <row r="29" spans="1:44" ht="54.75" customHeight="1" x14ac:dyDescent="0.2">
      <c r="A29" s="21" t="s">
        <v>545</v>
      </c>
      <c r="B29" s="22" t="s">
        <v>1091</v>
      </c>
      <c r="C29" s="22"/>
      <c r="D29" s="56" t="s">
        <v>550</v>
      </c>
      <c r="E29" s="88" t="s">
        <v>109</v>
      </c>
      <c r="F29" s="89" t="s">
        <v>125</v>
      </c>
      <c r="G29" s="90" t="s">
        <v>170</v>
      </c>
      <c r="H29" s="90"/>
      <c r="I29" s="255" t="s">
        <v>1276</v>
      </c>
      <c r="J29" s="263" t="s">
        <v>1277</v>
      </c>
      <c r="K29" s="28" t="s">
        <v>556</v>
      </c>
      <c r="L29" s="22" t="s">
        <v>1437</v>
      </c>
      <c r="M29" s="22" t="s">
        <v>555</v>
      </c>
      <c r="N29" s="45" t="s">
        <v>561</v>
      </c>
      <c r="O29" s="67" t="s">
        <v>557</v>
      </c>
      <c r="P29" s="82">
        <v>4</v>
      </c>
      <c r="Q29" s="27">
        <v>41381</v>
      </c>
      <c r="R29" s="255" t="s">
        <v>290</v>
      </c>
      <c r="S29" s="255" t="s">
        <v>289</v>
      </c>
      <c r="T29" s="223"/>
      <c r="U29" s="296"/>
      <c r="V29" s="91"/>
      <c r="W29" s="120"/>
      <c r="X29" s="139">
        <f t="shared" si="0"/>
        <v>14.454976303317535</v>
      </c>
      <c r="Y29" s="255"/>
      <c r="Z29" s="140">
        <v>0</v>
      </c>
      <c r="AA29" s="74"/>
      <c r="AB29" s="72"/>
      <c r="AC29" s="76">
        <f t="shared" si="1"/>
        <v>14.454976303317535</v>
      </c>
      <c r="AD29" s="76">
        <f>12.2/0.844</f>
        <v>14.454976303317535</v>
      </c>
      <c r="AE29" s="76">
        <v>0</v>
      </c>
      <c r="AF29" s="76">
        <v>0</v>
      </c>
      <c r="AG29" s="80">
        <v>8.3300000000000006E-3</v>
      </c>
      <c r="AH29" s="80">
        <f t="shared" si="2"/>
        <v>8.3300000000000006E-3</v>
      </c>
      <c r="AI29" s="80">
        <f>AH29*6</f>
        <v>4.9980000000000004E-2</v>
      </c>
      <c r="AJ29" s="62"/>
      <c r="AK29" s="62" t="s">
        <v>559</v>
      </c>
      <c r="AL29" s="350" t="s">
        <v>1401</v>
      </c>
      <c r="AM29" s="38"/>
      <c r="AN29" s="41"/>
      <c r="AO29" s="82"/>
      <c r="AP29" s="41"/>
      <c r="AQ29" s="282" t="s">
        <v>560</v>
      </c>
      <c r="AR29" s="24"/>
    </row>
    <row r="30" spans="1:44" ht="39.75" customHeight="1" x14ac:dyDescent="0.2">
      <c r="A30" s="21" t="s">
        <v>546</v>
      </c>
      <c r="B30" s="22" t="s">
        <v>1085</v>
      </c>
      <c r="C30" s="22"/>
      <c r="D30" s="56" t="s">
        <v>551</v>
      </c>
      <c r="E30" s="88" t="s">
        <v>109</v>
      </c>
      <c r="F30" s="89" t="s">
        <v>125</v>
      </c>
      <c r="G30" s="90" t="s">
        <v>170</v>
      </c>
      <c r="H30" s="90"/>
      <c r="I30" s="255" t="s">
        <v>1278</v>
      </c>
      <c r="J30" s="263" t="s">
        <v>563</v>
      </c>
      <c r="K30" s="28" t="s">
        <v>556</v>
      </c>
      <c r="L30" s="22" t="s">
        <v>1435</v>
      </c>
      <c r="M30" s="22" t="s">
        <v>415</v>
      </c>
      <c r="N30" s="45" t="s">
        <v>562</v>
      </c>
      <c r="O30" s="67">
        <v>42005</v>
      </c>
      <c r="P30" s="82">
        <v>4</v>
      </c>
      <c r="Q30" s="27">
        <v>41381</v>
      </c>
      <c r="R30" s="255" t="s">
        <v>290</v>
      </c>
      <c r="S30" s="255" t="s">
        <v>1279</v>
      </c>
      <c r="T30" s="223"/>
      <c r="U30" s="296"/>
      <c r="V30" s="91"/>
      <c r="W30" s="120"/>
      <c r="X30" s="139">
        <f t="shared" si="0"/>
        <v>296.20853080568719</v>
      </c>
      <c r="Y30" s="255"/>
      <c r="Z30" s="140">
        <v>0</v>
      </c>
      <c r="AA30" s="74"/>
      <c r="AB30" s="72"/>
      <c r="AC30" s="76">
        <f t="shared" si="1"/>
        <v>296.20853080568719</v>
      </c>
      <c r="AD30" s="76">
        <f>250/0.844</f>
        <v>296.20853080568719</v>
      </c>
      <c r="AE30" s="76">
        <v>0</v>
      </c>
      <c r="AF30" s="76">
        <v>0</v>
      </c>
      <c r="AG30" s="69">
        <v>0.41</v>
      </c>
      <c r="AH30" s="69">
        <v>0.41</v>
      </c>
      <c r="AI30" s="58">
        <f>AH30*3</f>
        <v>1.23</v>
      </c>
      <c r="AJ30" s="62"/>
      <c r="AK30" s="62" t="s">
        <v>564</v>
      </c>
      <c r="AL30" s="350" t="s">
        <v>1469</v>
      </c>
      <c r="AM30" s="38">
        <v>1000</v>
      </c>
      <c r="AN30" s="41"/>
      <c r="AO30" s="82"/>
      <c r="AP30" s="41"/>
      <c r="AQ30" s="282" t="s">
        <v>560</v>
      </c>
      <c r="AR30" s="24"/>
    </row>
    <row r="31" spans="1:44" ht="42" customHeight="1" x14ac:dyDescent="0.2">
      <c r="A31" s="21" t="s">
        <v>547</v>
      </c>
      <c r="B31" s="22" t="s">
        <v>1093</v>
      </c>
      <c r="C31" s="22"/>
      <c r="D31" s="56" t="s">
        <v>552</v>
      </c>
      <c r="E31" s="88" t="s">
        <v>109</v>
      </c>
      <c r="F31" s="89" t="s">
        <v>125</v>
      </c>
      <c r="G31" s="90" t="s">
        <v>170</v>
      </c>
      <c r="H31" s="90"/>
      <c r="I31" s="255" t="s">
        <v>1280</v>
      </c>
      <c r="J31" s="263" t="s">
        <v>1281</v>
      </c>
      <c r="K31" s="28" t="s">
        <v>376</v>
      </c>
      <c r="L31" s="22" t="s">
        <v>1442</v>
      </c>
      <c r="M31" s="22" t="s">
        <v>565</v>
      </c>
      <c r="N31" s="45" t="s">
        <v>1443</v>
      </c>
      <c r="O31" s="67">
        <v>41275</v>
      </c>
      <c r="P31" s="82">
        <v>8</v>
      </c>
      <c r="Q31" s="27">
        <v>41381</v>
      </c>
      <c r="R31" s="255" t="s">
        <v>290</v>
      </c>
      <c r="S31" s="255" t="s">
        <v>289</v>
      </c>
      <c r="T31" s="223"/>
      <c r="U31" s="296"/>
      <c r="V31" s="91"/>
      <c r="W31" s="120"/>
      <c r="X31" s="139">
        <f t="shared" si="0"/>
        <v>857.20379146919436</v>
      </c>
      <c r="Y31" s="255"/>
      <c r="Z31" s="76">
        <f>(723.48-578.784)/0.844</f>
        <v>171.44075829383891</v>
      </c>
      <c r="AA31" s="74"/>
      <c r="AB31" s="72"/>
      <c r="AC31" s="76">
        <f t="shared" si="1"/>
        <v>685.76303317535542</v>
      </c>
      <c r="AD31" s="76">
        <f>578.784/0.844</f>
        <v>685.76303317535542</v>
      </c>
      <c r="AE31" s="76">
        <v>0</v>
      </c>
      <c r="AF31" s="76">
        <v>0</v>
      </c>
      <c r="AG31" s="69">
        <v>5.04E-2</v>
      </c>
      <c r="AH31" s="69">
        <f>AG31</f>
        <v>5.04E-2</v>
      </c>
      <c r="AI31" s="58">
        <f>AH31*4</f>
        <v>0.2016</v>
      </c>
      <c r="AJ31" s="62"/>
      <c r="AK31" s="62" t="s">
        <v>564</v>
      </c>
      <c r="AL31" s="350" t="s">
        <v>1469</v>
      </c>
      <c r="AM31" s="38">
        <v>0</v>
      </c>
      <c r="AN31" s="41"/>
      <c r="AO31" s="82"/>
      <c r="AP31" s="41"/>
      <c r="AQ31" s="282" t="s">
        <v>566</v>
      </c>
      <c r="AR31" s="24"/>
    </row>
    <row r="32" spans="1:44" ht="53.25" customHeight="1" x14ac:dyDescent="0.2">
      <c r="A32" s="21" t="s">
        <v>548</v>
      </c>
      <c r="B32" s="22" t="s">
        <v>1086</v>
      </c>
      <c r="C32" s="22"/>
      <c r="D32" s="56" t="s">
        <v>553</v>
      </c>
      <c r="E32" s="88" t="s">
        <v>109</v>
      </c>
      <c r="F32" s="89" t="s">
        <v>125</v>
      </c>
      <c r="G32" s="90" t="s">
        <v>170</v>
      </c>
      <c r="H32" s="90"/>
      <c r="I32" s="255" t="s">
        <v>1282</v>
      </c>
      <c r="J32" s="263" t="s">
        <v>1283</v>
      </c>
      <c r="K32" s="22" t="s">
        <v>568</v>
      </c>
      <c r="L32" s="22" t="s">
        <v>328</v>
      </c>
      <c r="M32" s="22" t="s">
        <v>570</v>
      </c>
      <c r="N32" s="45" t="s">
        <v>571</v>
      </c>
      <c r="O32" s="67">
        <v>41640</v>
      </c>
      <c r="P32" s="82">
        <v>6</v>
      </c>
      <c r="Q32" s="27">
        <v>41381</v>
      </c>
      <c r="R32" s="255" t="s">
        <v>290</v>
      </c>
      <c r="S32" s="255" t="s">
        <v>289</v>
      </c>
      <c r="T32" s="223"/>
      <c r="U32" s="296"/>
      <c r="V32" s="91"/>
      <c r="W32" s="120"/>
      <c r="X32" s="139">
        <f t="shared" si="0"/>
        <v>175.88023210663508</v>
      </c>
      <c r="Y32" s="255"/>
      <c r="Z32" s="76">
        <f>139.328/0.844</f>
        <v>165.08056872037915</v>
      </c>
      <c r="AA32" s="74"/>
      <c r="AB32" s="72"/>
      <c r="AC32" s="76">
        <f t="shared" si="1"/>
        <v>10.799663386255924</v>
      </c>
      <c r="AD32" s="76">
        <f>9.114915898/0.844</f>
        <v>10.799663386255924</v>
      </c>
      <c r="AE32" s="76">
        <v>0</v>
      </c>
      <c r="AF32" s="76">
        <v>0</v>
      </c>
      <c r="AG32" s="69">
        <v>2.617</v>
      </c>
      <c r="AH32" s="69">
        <f>AG32</f>
        <v>2.617</v>
      </c>
      <c r="AI32" s="58">
        <f>AG32*3</f>
        <v>7.851</v>
      </c>
      <c r="AJ32" s="62"/>
      <c r="AK32" s="62" t="s">
        <v>573</v>
      </c>
      <c r="AL32" s="350" t="s">
        <v>1284</v>
      </c>
      <c r="AM32" s="38"/>
      <c r="AN32" s="41"/>
      <c r="AO32" s="82"/>
      <c r="AP32" s="41"/>
      <c r="AQ32" s="282" t="s">
        <v>572</v>
      </c>
      <c r="AR32" s="498"/>
    </row>
    <row r="33" spans="1:44" ht="28.5" customHeight="1" x14ac:dyDescent="0.2">
      <c r="A33" s="21" t="s">
        <v>549</v>
      </c>
      <c r="B33" s="22" t="s">
        <v>1087</v>
      </c>
      <c r="C33" s="22"/>
      <c r="D33" s="56" t="s">
        <v>554</v>
      </c>
      <c r="E33" s="88" t="s">
        <v>109</v>
      </c>
      <c r="F33" s="89" t="s">
        <v>125</v>
      </c>
      <c r="G33" s="90" t="s">
        <v>170</v>
      </c>
      <c r="H33" s="90"/>
      <c r="I33" s="255" t="s">
        <v>575</v>
      </c>
      <c r="J33" s="263" t="s">
        <v>1286</v>
      </c>
      <c r="K33" s="28" t="s">
        <v>409</v>
      </c>
      <c r="L33" s="22" t="s">
        <v>1435</v>
      </c>
      <c r="M33" s="22" t="s">
        <v>415</v>
      </c>
      <c r="N33" s="45" t="s">
        <v>574</v>
      </c>
      <c r="O33" s="67">
        <v>41275</v>
      </c>
      <c r="P33" s="82">
        <v>4</v>
      </c>
      <c r="Q33" s="27">
        <v>41381</v>
      </c>
      <c r="R33" s="255" t="s">
        <v>290</v>
      </c>
      <c r="S33" s="255" t="s">
        <v>585</v>
      </c>
      <c r="T33" s="223"/>
      <c r="U33" s="296"/>
      <c r="V33" s="91"/>
      <c r="W33" s="120"/>
      <c r="X33" s="139">
        <f t="shared" si="0"/>
        <v>66.113744075829388</v>
      </c>
      <c r="Y33" s="255"/>
      <c r="Z33" s="140">
        <v>0</v>
      </c>
      <c r="AA33" s="74"/>
      <c r="AB33" s="72"/>
      <c r="AC33" s="76">
        <f t="shared" si="1"/>
        <v>66.113744075829388</v>
      </c>
      <c r="AD33" s="76">
        <f>55.8/0.844</f>
        <v>66.113744075829388</v>
      </c>
      <c r="AE33" s="76">
        <v>0</v>
      </c>
      <c r="AF33" s="76">
        <v>0</v>
      </c>
      <c r="AG33" s="69">
        <f>4.1/40</f>
        <v>0.10249999999999999</v>
      </c>
      <c r="AH33" s="69">
        <f>4.1/40</f>
        <v>0.10249999999999999</v>
      </c>
      <c r="AI33" s="58">
        <f>AG33*3</f>
        <v>0.3075</v>
      </c>
      <c r="AJ33" s="62"/>
      <c r="AK33" s="62" t="s">
        <v>577</v>
      </c>
      <c r="AL33" s="350" t="s">
        <v>1287</v>
      </c>
      <c r="AM33" s="38">
        <v>30.4</v>
      </c>
      <c r="AN33" s="117">
        <f>108300/AM33</f>
        <v>3562.5</v>
      </c>
      <c r="AO33" s="82"/>
      <c r="AP33" s="41"/>
      <c r="AQ33" s="330" t="s">
        <v>576</v>
      </c>
      <c r="AR33" s="24"/>
    </row>
    <row r="34" spans="1:44" ht="39.75" customHeight="1" x14ac:dyDescent="0.2">
      <c r="A34" s="21" t="s">
        <v>601</v>
      </c>
      <c r="B34" s="22" t="s">
        <v>1072</v>
      </c>
      <c r="C34" s="22"/>
      <c r="D34" s="56" t="s">
        <v>1285</v>
      </c>
      <c r="E34" s="132" t="s">
        <v>102</v>
      </c>
      <c r="F34" s="133" t="s">
        <v>606</v>
      </c>
      <c r="G34" s="134" t="s">
        <v>67</v>
      </c>
      <c r="H34" s="90"/>
      <c r="I34" s="255" t="s">
        <v>569</v>
      </c>
      <c r="J34" s="263"/>
      <c r="K34" s="28" t="s">
        <v>342</v>
      </c>
      <c r="L34" s="22" t="s">
        <v>608</v>
      </c>
      <c r="M34" s="22" t="s">
        <v>607</v>
      </c>
      <c r="N34" s="45" t="s">
        <v>609</v>
      </c>
      <c r="O34" s="67"/>
      <c r="P34" s="82">
        <f>70/12</f>
        <v>5.833333333333333</v>
      </c>
      <c r="Q34" s="27">
        <v>41430</v>
      </c>
      <c r="R34" s="255" t="s">
        <v>288</v>
      </c>
      <c r="S34" s="489" t="s">
        <v>611</v>
      </c>
      <c r="T34" s="223"/>
      <c r="U34" s="296"/>
      <c r="V34" s="91"/>
      <c r="W34" s="120"/>
      <c r="X34" s="139">
        <f t="shared" si="0"/>
        <v>0.75</v>
      </c>
      <c r="Y34" s="255"/>
      <c r="Z34" s="139">
        <v>0.75</v>
      </c>
      <c r="AA34" s="74"/>
      <c r="AB34" s="72"/>
      <c r="AC34" s="76">
        <f t="shared" si="1"/>
        <v>0</v>
      </c>
      <c r="AD34" s="76"/>
      <c r="AE34" s="76"/>
      <c r="AF34" s="76"/>
      <c r="AG34" s="69"/>
      <c r="AH34" s="69"/>
      <c r="AI34" s="58"/>
      <c r="AJ34" s="62"/>
      <c r="AK34" s="62"/>
      <c r="AL34" s="350" t="s">
        <v>1275</v>
      </c>
      <c r="AM34" s="38"/>
      <c r="AN34" s="41"/>
      <c r="AO34" s="82"/>
      <c r="AP34" s="41"/>
      <c r="AQ34" s="282" t="s">
        <v>610</v>
      </c>
      <c r="AR34" s="24"/>
    </row>
    <row r="35" spans="1:44" ht="37.5" customHeight="1" x14ac:dyDescent="0.2">
      <c r="A35" s="21" t="s">
        <v>602</v>
      </c>
      <c r="B35" s="22" t="s">
        <v>1073</v>
      </c>
      <c r="C35" s="22"/>
      <c r="D35" s="56" t="s">
        <v>612</v>
      </c>
      <c r="E35" s="132" t="s">
        <v>102</v>
      </c>
      <c r="F35" s="133" t="s">
        <v>606</v>
      </c>
      <c r="G35" s="134" t="s">
        <v>67</v>
      </c>
      <c r="H35" s="90"/>
      <c r="I35" s="255" t="s">
        <v>616</v>
      </c>
      <c r="J35" s="263"/>
      <c r="K35" s="28" t="s">
        <v>342</v>
      </c>
      <c r="L35" s="22" t="s">
        <v>1435</v>
      </c>
      <c r="M35" s="22" t="s">
        <v>95</v>
      </c>
      <c r="N35" s="45" t="s">
        <v>95</v>
      </c>
      <c r="O35" s="67"/>
      <c r="P35" s="82"/>
      <c r="Q35" s="27">
        <v>41430</v>
      </c>
      <c r="R35" s="255" t="s">
        <v>288</v>
      </c>
      <c r="S35" s="381" t="s">
        <v>623</v>
      </c>
      <c r="T35" s="223"/>
      <c r="U35" s="296"/>
      <c r="V35" s="91"/>
      <c r="W35" s="120"/>
      <c r="X35" s="139">
        <f t="shared" si="0"/>
        <v>1.25</v>
      </c>
      <c r="Y35" s="255"/>
      <c r="Z35" s="140"/>
      <c r="AA35" s="74"/>
      <c r="AB35" s="72"/>
      <c r="AC35" s="76">
        <f t="shared" si="1"/>
        <v>1.25</v>
      </c>
      <c r="AD35" s="76">
        <v>0.5</v>
      </c>
      <c r="AE35" s="76">
        <v>0.5</v>
      </c>
      <c r="AF35" s="76">
        <v>0.25</v>
      </c>
      <c r="AG35" s="69"/>
      <c r="AH35" s="69"/>
      <c r="AI35" s="58"/>
      <c r="AJ35" s="62"/>
      <c r="AK35" s="62"/>
      <c r="AL35" s="350" t="s">
        <v>1289</v>
      </c>
      <c r="AM35" s="38"/>
      <c r="AN35" s="41"/>
      <c r="AO35" s="82"/>
      <c r="AP35" s="41"/>
      <c r="AQ35" s="282" t="s">
        <v>618</v>
      </c>
      <c r="AR35" s="24" t="s">
        <v>1288</v>
      </c>
    </row>
    <row r="36" spans="1:44" ht="38.25" customHeight="1" x14ac:dyDescent="0.2">
      <c r="A36" s="21" t="s">
        <v>603</v>
      </c>
      <c r="B36" s="22" t="s">
        <v>1074</v>
      </c>
      <c r="C36" s="22"/>
      <c r="D36" s="56" t="s">
        <v>612</v>
      </c>
      <c r="E36" s="132" t="s">
        <v>102</v>
      </c>
      <c r="F36" s="133" t="s">
        <v>606</v>
      </c>
      <c r="G36" s="134" t="s">
        <v>67</v>
      </c>
      <c r="H36" s="90"/>
      <c r="I36" s="255" t="s">
        <v>617</v>
      </c>
      <c r="J36" s="263"/>
      <c r="K36" s="28" t="s">
        <v>342</v>
      </c>
      <c r="L36" s="22" t="s">
        <v>1435</v>
      </c>
      <c r="M36" s="22" t="s">
        <v>94</v>
      </c>
      <c r="N36" s="45" t="s">
        <v>94</v>
      </c>
      <c r="O36" s="67"/>
      <c r="P36" s="82"/>
      <c r="Q36" s="27">
        <v>41430</v>
      </c>
      <c r="R36" s="255" t="s">
        <v>288</v>
      </c>
      <c r="S36" s="489" t="s">
        <v>623</v>
      </c>
      <c r="T36" s="223"/>
      <c r="U36" s="296"/>
      <c r="V36" s="91"/>
      <c r="W36" s="120"/>
      <c r="X36" s="139">
        <f t="shared" si="0"/>
        <v>1.75</v>
      </c>
      <c r="Y36" s="255"/>
      <c r="Z36" s="140"/>
      <c r="AA36" s="74"/>
      <c r="AB36" s="72"/>
      <c r="AC36" s="76">
        <f t="shared" si="1"/>
        <v>1.75</v>
      </c>
      <c r="AD36" s="76">
        <v>1</v>
      </c>
      <c r="AE36" s="76">
        <v>0.5</v>
      </c>
      <c r="AF36" s="76">
        <v>0.25</v>
      </c>
      <c r="AG36" s="69"/>
      <c r="AH36" s="69"/>
      <c r="AI36" s="58"/>
      <c r="AJ36" s="62"/>
      <c r="AK36" s="62"/>
      <c r="AL36" s="350" t="s">
        <v>1289</v>
      </c>
      <c r="AM36" s="38"/>
      <c r="AN36" s="41"/>
      <c r="AO36" s="82"/>
      <c r="AP36" s="41"/>
      <c r="AQ36" s="282" t="s">
        <v>618</v>
      </c>
      <c r="AR36" s="24" t="s">
        <v>1288</v>
      </c>
    </row>
    <row r="37" spans="1:44" ht="27.75" customHeight="1" x14ac:dyDescent="0.2">
      <c r="A37" s="21" t="s">
        <v>604</v>
      </c>
      <c r="B37" s="22" t="s">
        <v>1075</v>
      </c>
      <c r="C37" s="22" t="s">
        <v>1076</v>
      </c>
      <c r="D37" s="56" t="s">
        <v>619</v>
      </c>
      <c r="E37" s="132" t="s">
        <v>102</v>
      </c>
      <c r="F37" s="133" t="s">
        <v>606</v>
      </c>
      <c r="G37" s="134" t="s">
        <v>67</v>
      </c>
      <c r="H37" s="90"/>
      <c r="I37" s="255" t="s">
        <v>1290</v>
      </c>
      <c r="J37" s="263" t="s">
        <v>622</v>
      </c>
      <c r="K37" s="28" t="s">
        <v>342</v>
      </c>
      <c r="L37" s="22" t="s">
        <v>1438</v>
      </c>
      <c r="M37" s="22" t="s">
        <v>620</v>
      </c>
      <c r="N37" s="45" t="s">
        <v>621</v>
      </c>
      <c r="O37" s="67"/>
      <c r="P37" s="82">
        <f>3/12</f>
        <v>0.25</v>
      </c>
      <c r="Q37" s="27">
        <v>41430</v>
      </c>
      <c r="R37" s="255" t="s">
        <v>288</v>
      </c>
      <c r="S37" s="358" t="s">
        <v>623</v>
      </c>
      <c r="T37" s="223"/>
      <c r="U37" s="296"/>
      <c r="V37" s="91"/>
      <c r="W37" s="120"/>
      <c r="X37" s="139">
        <f t="shared" si="0"/>
        <v>0.21149999999999999</v>
      </c>
      <c r="Y37" s="255"/>
      <c r="Z37" s="140"/>
      <c r="AA37" s="74"/>
      <c r="AB37" s="72"/>
      <c r="AC37" s="76">
        <f t="shared" si="1"/>
        <v>0.21149999999999999</v>
      </c>
      <c r="AD37" s="76"/>
      <c r="AE37" s="139">
        <f>0.15*1.41</f>
        <v>0.21149999999999999</v>
      </c>
      <c r="AF37" s="76" t="s">
        <v>624</v>
      </c>
      <c r="AG37" s="69"/>
      <c r="AH37" s="69"/>
      <c r="AI37" s="58"/>
      <c r="AJ37" s="62"/>
      <c r="AK37" s="62"/>
      <c r="AL37" s="350" t="s">
        <v>1293</v>
      </c>
      <c r="AM37" s="38"/>
      <c r="AN37" s="41"/>
      <c r="AO37" s="82"/>
      <c r="AP37" s="41"/>
      <c r="AQ37" s="282" t="s">
        <v>625</v>
      </c>
      <c r="AR37" s="24" t="s">
        <v>1292</v>
      </c>
    </row>
    <row r="38" spans="1:44" ht="39.75" customHeight="1" x14ac:dyDescent="0.2">
      <c r="A38" s="21" t="s">
        <v>605</v>
      </c>
      <c r="B38" s="22" t="s">
        <v>1077</v>
      </c>
      <c r="C38" s="22"/>
      <c r="D38" s="56" t="s">
        <v>626</v>
      </c>
      <c r="E38" s="132" t="s">
        <v>102</v>
      </c>
      <c r="F38" s="133" t="s">
        <v>606</v>
      </c>
      <c r="G38" s="134" t="s">
        <v>67</v>
      </c>
      <c r="H38" s="90"/>
      <c r="I38" s="255" t="s">
        <v>631</v>
      </c>
      <c r="J38" s="263" t="s">
        <v>630</v>
      </c>
      <c r="K38" s="28" t="s">
        <v>342</v>
      </c>
      <c r="L38" s="22" t="s">
        <v>629</v>
      </c>
      <c r="M38" s="22" t="s">
        <v>628</v>
      </c>
      <c r="N38" s="45" t="s">
        <v>657</v>
      </c>
      <c r="O38" s="67"/>
      <c r="P38" s="82">
        <f>30/12</f>
        <v>2.5</v>
      </c>
      <c r="Q38" s="27">
        <v>41430</v>
      </c>
      <c r="R38" s="255" t="s">
        <v>288</v>
      </c>
      <c r="S38" s="309" t="s">
        <v>623</v>
      </c>
      <c r="T38" s="223"/>
      <c r="U38" s="296"/>
      <c r="V38" s="91"/>
      <c r="W38" s="120"/>
      <c r="X38" s="139">
        <f t="shared" si="0"/>
        <v>0.95</v>
      </c>
      <c r="Y38" s="255"/>
      <c r="Z38" s="140"/>
      <c r="AA38" s="74"/>
      <c r="AB38" s="72"/>
      <c r="AC38" s="76">
        <f t="shared" si="1"/>
        <v>0.95</v>
      </c>
      <c r="AD38" s="76">
        <v>0.85</v>
      </c>
      <c r="AE38" s="76"/>
      <c r="AF38" s="76">
        <v>0.1</v>
      </c>
      <c r="AG38" s="69">
        <v>1</v>
      </c>
      <c r="AH38" s="69">
        <v>1</v>
      </c>
      <c r="AI38" s="58"/>
      <c r="AJ38" s="62" t="s">
        <v>1294</v>
      </c>
      <c r="AK38" s="62"/>
      <c r="AL38" s="350" t="s">
        <v>1467</v>
      </c>
      <c r="AM38" s="38"/>
      <c r="AN38" s="41"/>
      <c r="AO38" s="82"/>
      <c r="AP38" s="41"/>
      <c r="AQ38" s="282" t="s">
        <v>627</v>
      </c>
      <c r="AR38" s="24"/>
    </row>
    <row r="39" spans="1:44" ht="28.5" customHeight="1" x14ac:dyDescent="0.2">
      <c r="A39" s="21" t="s">
        <v>613</v>
      </c>
      <c r="B39" s="22" t="s">
        <v>1078</v>
      </c>
      <c r="C39" s="22"/>
      <c r="D39" s="56" t="s">
        <v>632</v>
      </c>
      <c r="E39" s="132" t="s">
        <v>102</v>
      </c>
      <c r="F39" s="133" t="s">
        <v>606</v>
      </c>
      <c r="G39" s="134" t="s">
        <v>67</v>
      </c>
      <c r="H39" s="90"/>
      <c r="I39" s="255" t="s">
        <v>636</v>
      </c>
      <c r="J39" s="263" t="s">
        <v>637</v>
      </c>
      <c r="K39" s="28" t="s">
        <v>342</v>
      </c>
      <c r="L39" s="22" t="s">
        <v>608</v>
      </c>
      <c r="M39" s="22" t="s">
        <v>634</v>
      </c>
      <c r="N39" s="28" t="s">
        <v>635</v>
      </c>
      <c r="O39" s="67"/>
      <c r="P39" s="82">
        <f>18/12</f>
        <v>1.5</v>
      </c>
      <c r="Q39" s="27">
        <v>41430</v>
      </c>
      <c r="R39" s="255" t="s">
        <v>288</v>
      </c>
      <c r="S39" s="489" t="s">
        <v>623</v>
      </c>
      <c r="T39" s="223"/>
      <c r="U39" s="296"/>
      <c r="V39" s="91"/>
      <c r="W39" s="120"/>
      <c r="X39" s="139">
        <f t="shared" si="0"/>
        <v>0.3</v>
      </c>
      <c r="Y39" s="255"/>
      <c r="Z39" s="140"/>
      <c r="AA39" s="74"/>
      <c r="AB39" s="72"/>
      <c r="AC39" s="76">
        <f t="shared" si="1"/>
        <v>0.3</v>
      </c>
      <c r="AD39" s="76">
        <v>0.3</v>
      </c>
      <c r="AE39" s="76"/>
      <c r="AF39" s="76"/>
      <c r="AG39" s="69"/>
      <c r="AH39" s="69"/>
      <c r="AI39" s="58"/>
      <c r="AJ39" s="62"/>
      <c r="AK39" s="62"/>
      <c r="AL39" s="350" t="s">
        <v>1289</v>
      </c>
      <c r="AM39" s="38"/>
      <c r="AN39" s="41"/>
      <c r="AO39" s="82"/>
      <c r="AP39" s="41"/>
      <c r="AQ39" s="282" t="s">
        <v>633</v>
      </c>
      <c r="AR39" s="24" t="s">
        <v>1288</v>
      </c>
    </row>
    <row r="40" spans="1:44" ht="28.5" customHeight="1" x14ac:dyDescent="0.2">
      <c r="A40" s="21" t="s">
        <v>614</v>
      </c>
      <c r="B40" s="22" t="s">
        <v>1076</v>
      </c>
      <c r="C40" s="22" t="s">
        <v>1075</v>
      </c>
      <c r="D40" s="56" t="s">
        <v>619</v>
      </c>
      <c r="E40" s="132" t="s">
        <v>102</v>
      </c>
      <c r="F40" s="133" t="s">
        <v>606</v>
      </c>
      <c r="G40" s="134" t="s">
        <v>67</v>
      </c>
      <c r="H40" s="90"/>
      <c r="I40" s="255" t="s">
        <v>1291</v>
      </c>
      <c r="J40" s="263" t="s">
        <v>622</v>
      </c>
      <c r="K40" s="28" t="s">
        <v>342</v>
      </c>
      <c r="L40" s="22" t="s">
        <v>1438</v>
      </c>
      <c r="M40" s="22" t="s">
        <v>620</v>
      </c>
      <c r="N40" s="45" t="s">
        <v>621</v>
      </c>
      <c r="O40" s="67">
        <v>41640</v>
      </c>
      <c r="P40" s="82">
        <v>10</v>
      </c>
      <c r="Q40" s="27">
        <v>41430</v>
      </c>
      <c r="R40" s="255" t="s">
        <v>290</v>
      </c>
      <c r="S40" s="309" t="s">
        <v>640</v>
      </c>
      <c r="T40" s="223"/>
      <c r="U40" s="296"/>
      <c r="V40" s="91"/>
      <c r="W40" s="120"/>
      <c r="X40" s="139">
        <f t="shared" si="0"/>
        <v>126.9</v>
      </c>
      <c r="Y40" s="255"/>
      <c r="Z40" s="139">
        <f>50*1.41</f>
        <v>70.5</v>
      </c>
      <c r="AA40" s="74"/>
      <c r="AB40" s="72"/>
      <c r="AC40" s="139">
        <f t="shared" si="1"/>
        <v>56.4</v>
      </c>
      <c r="AD40" s="139">
        <f>40*1.41</f>
        <v>56.4</v>
      </c>
      <c r="AE40" s="76"/>
      <c r="AF40" s="76"/>
      <c r="AG40" s="69">
        <v>1.1000000000000001</v>
      </c>
      <c r="AH40" s="69">
        <v>1.1000000000000001</v>
      </c>
      <c r="AI40" s="58"/>
      <c r="AJ40" s="62"/>
      <c r="AK40" s="62"/>
      <c r="AL40" s="350" t="s">
        <v>1293</v>
      </c>
      <c r="AM40" s="38"/>
      <c r="AN40" s="41"/>
      <c r="AO40" s="82"/>
      <c r="AP40" s="41"/>
      <c r="AQ40" s="282" t="s">
        <v>625</v>
      </c>
      <c r="AR40" s="24" t="s">
        <v>1292</v>
      </c>
    </row>
    <row r="41" spans="1:44" ht="39.75" customHeight="1" x14ac:dyDescent="0.2">
      <c r="A41" s="21" t="s">
        <v>615</v>
      </c>
      <c r="B41" s="22" t="s">
        <v>1079</v>
      </c>
      <c r="C41" s="22"/>
      <c r="D41" s="56" t="s">
        <v>641</v>
      </c>
      <c r="E41" s="132" t="s">
        <v>102</v>
      </c>
      <c r="F41" s="133" t="s">
        <v>606</v>
      </c>
      <c r="G41" s="134" t="s">
        <v>67</v>
      </c>
      <c r="H41" s="90"/>
      <c r="I41" s="263" t="s">
        <v>643</v>
      </c>
      <c r="J41" s="263" t="s">
        <v>1297</v>
      </c>
      <c r="K41" s="28" t="s">
        <v>342</v>
      </c>
      <c r="L41" s="22" t="s">
        <v>1435</v>
      </c>
      <c r="M41" s="22" t="s">
        <v>415</v>
      </c>
      <c r="N41" s="28" t="s">
        <v>91</v>
      </c>
      <c r="O41" s="67">
        <v>41275</v>
      </c>
      <c r="P41" s="82">
        <v>3</v>
      </c>
      <c r="Q41" s="27">
        <v>41430</v>
      </c>
      <c r="R41" s="255" t="s">
        <v>290</v>
      </c>
      <c r="S41" s="489"/>
      <c r="T41" s="223"/>
      <c r="U41" s="296"/>
      <c r="V41" s="91"/>
      <c r="W41" s="120"/>
      <c r="X41" s="139">
        <f t="shared" si="0"/>
        <v>158.57035100000002</v>
      </c>
      <c r="Y41" s="255" t="s">
        <v>642</v>
      </c>
      <c r="Z41" s="140">
        <f>158.570351-AD41</f>
        <v>134.784829</v>
      </c>
      <c r="AA41" s="74"/>
      <c r="AB41" s="72"/>
      <c r="AC41" s="76">
        <f t="shared" si="1"/>
        <v>23.785522</v>
      </c>
      <c r="AD41" s="76">
        <v>23.785522</v>
      </c>
      <c r="AE41" s="76"/>
      <c r="AF41" s="76"/>
      <c r="AG41" s="69">
        <f>301.873*1.42/1000</f>
        <v>0.42865966</v>
      </c>
      <c r="AH41" s="69">
        <f>AG41</f>
        <v>0.42865966</v>
      </c>
      <c r="AI41" s="58"/>
      <c r="AJ41" s="62"/>
      <c r="AK41" s="62"/>
      <c r="AL41" s="350" t="s">
        <v>1295</v>
      </c>
      <c r="AM41" s="38">
        <v>140</v>
      </c>
      <c r="AN41" s="41"/>
      <c r="AO41" s="82"/>
      <c r="AP41" s="41"/>
      <c r="AQ41" s="282" t="s">
        <v>1296</v>
      </c>
      <c r="AR41" s="24"/>
    </row>
    <row r="42" spans="1:44" ht="29.25" customHeight="1" x14ac:dyDescent="0.2">
      <c r="A42" s="21" t="s">
        <v>638</v>
      </c>
      <c r="B42" s="22" t="s">
        <v>1092</v>
      </c>
      <c r="C42" s="22"/>
      <c r="D42" s="56" t="s">
        <v>1300</v>
      </c>
      <c r="E42" s="132" t="s">
        <v>102</v>
      </c>
      <c r="F42" s="133" t="s">
        <v>606</v>
      </c>
      <c r="G42" s="134" t="s">
        <v>67</v>
      </c>
      <c r="H42" s="90"/>
      <c r="I42" s="255" t="s">
        <v>1298</v>
      </c>
      <c r="J42" s="263" t="s">
        <v>1299</v>
      </c>
      <c r="K42" s="28" t="s">
        <v>342</v>
      </c>
      <c r="L42" s="22" t="s">
        <v>608</v>
      </c>
      <c r="M42" s="22" t="s">
        <v>648</v>
      </c>
      <c r="N42" s="45" t="s">
        <v>1024</v>
      </c>
      <c r="O42" s="67">
        <v>41640</v>
      </c>
      <c r="P42" s="82"/>
      <c r="Q42" s="27">
        <v>41437</v>
      </c>
      <c r="R42" s="255" t="s">
        <v>290</v>
      </c>
      <c r="S42" s="337" t="s">
        <v>646</v>
      </c>
      <c r="T42" s="223"/>
      <c r="U42" s="296"/>
      <c r="V42" s="91"/>
      <c r="W42" s="120"/>
      <c r="X42" s="139"/>
      <c r="Y42" s="255"/>
      <c r="Z42" s="140"/>
      <c r="AA42" s="74"/>
      <c r="AB42" s="72"/>
      <c r="AC42" s="139"/>
      <c r="AD42" s="139"/>
      <c r="AE42" s="76"/>
      <c r="AF42" s="76"/>
      <c r="AG42" s="69">
        <v>1.3759E-2</v>
      </c>
      <c r="AH42" s="69">
        <f>AG42</f>
        <v>1.3759E-2</v>
      </c>
      <c r="AI42" s="58"/>
      <c r="AJ42" s="62"/>
      <c r="AK42" s="62" t="s">
        <v>647</v>
      </c>
      <c r="AL42" s="350" t="s">
        <v>1274</v>
      </c>
      <c r="AM42" s="38"/>
      <c r="AN42" s="41" t="s">
        <v>645</v>
      </c>
      <c r="AO42" s="82"/>
      <c r="AP42" s="41"/>
      <c r="AQ42" s="282" t="s">
        <v>644</v>
      </c>
      <c r="AR42" s="24"/>
    </row>
    <row r="43" spans="1:44" ht="27.75" customHeight="1" x14ac:dyDescent="0.2">
      <c r="A43" s="21" t="s">
        <v>639</v>
      </c>
      <c r="B43" s="22" t="s">
        <v>1099</v>
      </c>
      <c r="C43" s="22" t="s">
        <v>2433</v>
      </c>
      <c r="D43" s="159" t="s">
        <v>649</v>
      </c>
      <c r="E43" s="522" t="s">
        <v>106</v>
      </c>
      <c r="F43" s="523" t="s">
        <v>107</v>
      </c>
      <c r="G43" s="524" t="s">
        <v>346</v>
      </c>
      <c r="H43" s="290"/>
      <c r="I43" s="268" t="s">
        <v>1301</v>
      </c>
      <c r="J43" s="273" t="s">
        <v>652</v>
      </c>
      <c r="K43" s="162" t="s">
        <v>351</v>
      </c>
      <c r="L43" s="158" t="s">
        <v>608</v>
      </c>
      <c r="M43" s="158" t="s">
        <v>650</v>
      </c>
      <c r="N43" s="163" t="s">
        <v>651</v>
      </c>
      <c r="O43" s="291">
        <v>41275</v>
      </c>
      <c r="P43" s="197">
        <v>6</v>
      </c>
      <c r="Q43" s="164">
        <v>41564</v>
      </c>
      <c r="R43" s="268" t="s">
        <v>290</v>
      </c>
      <c r="S43" s="287" t="s">
        <v>653</v>
      </c>
      <c r="T43" s="162" t="s">
        <v>1229</v>
      </c>
      <c r="U43" s="299" t="s">
        <v>1230</v>
      </c>
      <c r="V43" s="182"/>
      <c r="W43" s="165"/>
      <c r="X43" s="277">
        <f t="shared" ref="X43:X74" si="3">Z43+AB43+AC43</f>
        <v>5.8214740000000003</v>
      </c>
      <c r="Y43" s="268"/>
      <c r="Z43" s="301"/>
      <c r="AA43" s="167"/>
      <c r="AB43" s="525"/>
      <c r="AC43" s="274">
        <f t="shared" ref="AC43:AC74" si="4">SUM(AD43:AF43)</f>
        <v>5.8214740000000003</v>
      </c>
      <c r="AD43" s="274">
        <f>5.821474</f>
        <v>5.8214740000000003</v>
      </c>
      <c r="AE43" s="274"/>
      <c r="AF43" s="274"/>
      <c r="AG43" s="293">
        <v>0.8</v>
      </c>
      <c r="AH43" s="293">
        <v>0.8</v>
      </c>
      <c r="AI43" s="170"/>
      <c r="AJ43" s="171" t="s">
        <v>655</v>
      </c>
      <c r="AK43" s="171" t="s">
        <v>654</v>
      </c>
      <c r="AL43" s="526" t="s">
        <v>1302</v>
      </c>
      <c r="AM43" s="166"/>
      <c r="AN43" s="172"/>
      <c r="AO43" s="197"/>
      <c r="AP43" s="172"/>
      <c r="AQ43" s="294" t="s">
        <v>656</v>
      </c>
      <c r="AR43" s="160"/>
    </row>
    <row r="44" spans="1:44" ht="42.75" customHeight="1" x14ac:dyDescent="0.2">
      <c r="A44" s="21" t="s">
        <v>671</v>
      </c>
      <c r="B44" s="22" t="s">
        <v>1101</v>
      </c>
      <c r="C44" s="22"/>
      <c r="D44" s="56" t="s">
        <v>673</v>
      </c>
      <c r="E44" s="88" t="s">
        <v>106</v>
      </c>
      <c r="F44" s="89" t="s">
        <v>124</v>
      </c>
      <c r="G44" s="90" t="s">
        <v>73</v>
      </c>
      <c r="H44" s="90"/>
      <c r="I44" s="255" t="s">
        <v>1303</v>
      </c>
      <c r="J44" s="263" t="s">
        <v>1304</v>
      </c>
      <c r="K44" s="28" t="s">
        <v>676</v>
      </c>
      <c r="L44" s="22" t="s">
        <v>1435</v>
      </c>
      <c r="M44" s="22" t="s">
        <v>675</v>
      </c>
      <c r="N44" s="45" t="s">
        <v>674</v>
      </c>
      <c r="O44" s="67">
        <v>41640</v>
      </c>
      <c r="P44" s="82">
        <v>20</v>
      </c>
      <c r="Q44" s="27">
        <v>41579</v>
      </c>
      <c r="R44" s="255" t="s">
        <v>290</v>
      </c>
      <c r="S44" s="338" t="s">
        <v>1305</v>
      </c>
      <c r="T44" s="223"/>
      <c r="U44" s="296"/>
      <c r="V44" s="91"/>
      <c r="W44" s="120"/>
      <c r="X44" s="139">
        <f t="shared" si="3"/>
        <v>47.864999999999995</v>
      </c>
      <c r="Y44" s="255"/>
      <c r="Z44" s="139">
        <v>6.5000000000000002E-2</v>
      </c>
      <c r="AA44" s="74" t="s">
        <v>1306</v>
      </c>
      <c r="AB44" s="72"/>
      <c r="AC44" s="76">
        <f t="shared" si="4"/>
        <v>47.8</v>
      </c>
      <c r="AD44" s="76">
        <v>47.8</v>
      </c>
      <c r="AE44" s="76">
        <v>0</v>
      </c>
      <c r="AF44" s="76">
        <v>0</v>
      </c>
      <c r="AG44" s="69">
        <f>2.863/20</f>
        <v>0.14315</v>
      </c>
      <c r="AH44" s="69">
        <f>AG44</f>
        <v>0.14315</v>
      </c>
      <c r="AI44" s="58">
        <f>AG44*7</f>
        <v>1.0020500000000001</v>
      </c>
      <c r="AJ44" s="62" t="s">
        <v>677</v>
      </c>
      <c r="AK44" s="62" t="s">
        <v>678</v>
      </c>
      <c r="AL44" s="350" t="s">
        <v>1396</v>
      </c>
      <c r="AM44" s="38"/>
      <c r="AN44" s="41"/>
      <c r="AO44" s="82"/>
      <c r="AP44" s="41"/>
      <c r="AQ44" s="282" t="s">
        <v>1307</v>
      </c>
      <c r="AR44" s="24"/>
    </row>
    <row r="45" spans="1:44" ht="51.75" customHeight="1" x14ac:dyDescent="0.2">
      <c r="A45" s="21" t="s">
        <v>672</v>
      </c>
      <c r="B45" s="22" t="s">
        <v>1103</v>
      </c>
      <c r="C45" s="22"/>
      <c r="D45" s="56" t="s">
        <v>679</v>
      </c>
      <c r="E45" s="88" t="s">
        <v>106</v>
      </c>
      <c r="F45" s="89" t="s">
        <v>124</v>
      </c>
      <c r="G45" s="90" t="s">
        <v>73</v>
      </c>
      <c r="H45" s="90"/>
      <c r="I45" s="255" t="s">
        <v>1308</v>
      </c>
      <c r="J45" s="263"/>
      <c r="K45" s="28" t="s">
        <v>676</v>
      </c>
      <c r="L45" s="22" t="s">
        <v>1435</v>
      </c>
      <c r="M45" s="22" t="s">
        <v>675</v>
      </c>
      <c r="N45" s="28" t="s">
        <v>727</v>
      </c>
      <c r="O45" s="67"/>
      <c r="P45" s="82">
        <v>4</v>
      </c>
      <c r="Q45" s="27">
        <v>41583</v>
      </c>
      <c r="R45" s="255" t="s">
        <v>288</v>
      </c>
      <c r="S45" s="358" t="s">
        <v>680</v>
      </c>
      <c r="T45" s="223"/>
      <c r="U45" s="296"/>
      <c r="V45" s="91"/>
      <c r="W45" s="120"/>
      <c r="X45" s="139">
        <f t="shared" si="3"/>
        <v>7.8E-2</v>
      </c>
      <c r="Y45" s="255" t="s">
        <v>681</v>
      </c>
      <c r="Z45" s="140">
        <f>0.078-0.065</f>
        <v>1.2999999999999998E-2</v>
      </c>
      <c r="AA45" s="74"/>
      <c r="AB45" s="72"/>
      <c r="AC45" s="76">
        <f t="shared" si="4"/>
        <v>6.5000000000000002E-2</v>
      </c>
      <c r="AD45" s="76">
        <v>6.5000000000000002E-2</v>
      </c>
      <c r="AE45" s="76">
        <v>0</v>
      </c>
      <c r="AF45" s="76">
        <v>0</v>
      </c>
      <c r="AG45" s="69"/>
      <c r="AH45" s="69"/>
      <c r="AI45" s="58"/>
      <c r="AJ45" s="62"/>
      <c r="AK45" s="62"/>
      <c r="AL45" s="350" t="s">
        <v>1295</v>
      </c>
      <c r="AM45" s="38"/>
      <c r="AN45" s="41"/>
      <c r="AO45" s="82"/>
      <c r="AP45" s="41"/>
      <c r="AQ45" s="282" t="s">
        <v>682</v>
      </c>
      <c r="AR45" s="24"/>
    </row>
    <row r="46" spans="1:44" ht="40.5" customHeight="1" x14ac:dyDescent="0.2">
      <c r="A46" s="21" t="s">
        <v>722</v>
      </c>
      <c r="B46" s="22" t="s">
        <v>1105</v>
      </c>
      <c r="C46" s="22"/>
      <c r="D46" s="56" t="s">
        <v>723</v>
      </c>
      <c r="E46" s="24" t="s">
        <v>105</v>
      </c>
      <c r="F46" s="26" t="s">
        <v>122</v>
      </c>
      <c r="G46" s="90" t="s">
        <v>152</v>
      </c>
      <c r="H46" s="90"/>
      <c r="I46" s="255" t="s">
        <v>729</v>
      </c>
      <c r="J46" s="263" t="s">
        <v>730</v>
      </c>
      <c r="K46" s="28" t="s">
        <v>726</v>
      </c>
      <c r="L46" s="22" t="s">
        <v>1435</v>
      </c>
      <c r="M46" s="22" t="s">
        <v>92</v>
      </c>
      <c r="N46" s="22" t="s">
        <v>724</v>
      </c>
      <c r="O46" s="67">
        <v>41640</v>
      </c>
      <c r="P46" s="82">
        <v>15</v>
      </c>
      <c r="Q46" s="27">
        <v>41691</v>
      </c>
      <c r="R46" s="255" t="s">
        <v>290</v>
      </c>
      <c r="S46" s="358" t="s">
        <v>731</v>
      </c>
      <c r="T46" s="223"/>
      <c r="U46" s="296"/>
      <c r="V46" s="91"/>
      <c r="W46" s="120"/>
      <c r="X46" s="139">
        <f t="shared" si="3"/>
        <v>4538.3</v>
      </c>
      <c r="Y46" s="255"/>
      <c r="Z46" s="140">
        <f>4250</f>
        <v>4250</v>
      </c>
      <c r="AA46" s="74"/>
      <c r="AB46" s="72"/>
      <c r="AC46" s="76">
        <f t="shared" si="4"/>
        <v>288.3</v>
      </c>
      <c r="AD46" s="76">
        <v>288.3</v>
      </c>
      <c r="AE46" s="76">
        <v>0</v>
      </c>
      <c r="AF46" s="76">
        <v>0</v>
      </c>
      <c r="AG46" s="69"/>
      <c r="AH46" s="69">
        <v>3.77</v>
      </c>
      <c r="AI46" s="58"/>
      <c r="AJ46" s="62" t="s">
        <v>728</v>
      </c>
      <c r="AK46" s="62" t="s">
        <v>725</v>
      </c>
      <c r="AL46" s="350" t="s">
        <v>1473</v>
      </c>
      <c r="AM46" s="38">
        <v>820</v>
      </c>
      <c r="AN46" s="41"/>
      <c r="AO46" s="82"/>
      <c r="AP46" s="41"/>
      <c r="AQ46" s="282" t="s">
        <v>1183</v>
      </c>
      <c r="AR46" s="24"/>
    </row>
    <row r="47" spans="1:44" ht="50.25" customHeight="1" x14ac:dyDescent="0.2">
      <c r="A47" s="200" t="s">
        <v>742</v>
      </c>
      <c r="B47" s="201" t="s">
        <v>1106</v>
      </c>
      <c r="C47" s="201"/>
      <c r="D47" s="202" t="s">
        <v>744</v>
      </c>
      <c r="E47" s="203" t="s">
        <v>109</v>
      </c>
      <c r="F47" s="204" t="s">
        <v>110</v>
      </c>
      <c r="G47" s="217" t="s">
        <v>62</v>
      </c>
      <c r="H47" s="217" t="s">
        <v>752</v>
      </c>
      <c r="I47" s="270" t="s">
        <v>748</v>
      </c>
      <c r="J47" s="264" t="s">
        <v>1309</v>
      </c>
      <c r="K47" s="205" t="s">
        <v>753</v>
      </c>
      <c r="L47" s="201" t="s">
        <v>749</v>
      </c>
      <c r="M47" s="201" t="s">
        <v>750</v>
      </c>
      <c r="N47" s="218" t="s">
        <v>751</v>
      </c>
      <c r="O47" s="207">
        <v>41640</v>
      </c>
      <c r="P47" s="208">
        <v>2</v>
      </c>
      <c r="Q47" s="209">
        <v>41715</v>
      </c>
      <c r="R47" s="270" t="s">
        <v>290</v>
      </c>
      <c r="S47" s="269" t="s">
        <v>755</v>
      </c>
      <c r="T47" s="224" t="s">
        <v>840</v>
      </c>
      <c r="U47" s="297"/>
      <c r="V47" s="218" t="s">
        <v>788</v>
      </c>
      <c r="W47" s="249">
        <f>AD47</f>
        <v>1.9404920000000001</v>
      </c>
      <c r="X47" s="276">
        <f t="shared" si="3"/>
        <v>2.5357300952380952</v>
      </c>
      <c r="Y47" s="270"/>
      <c r="Z47" s="302">
        <f>0.5/0.84</f>
        <v>0.59523809523809523</v>
      </c>
      <c r="AA47" s="212"/>
      <c r="AB47" s="220"/>
      <c r="AC47" s="275">
        <f t="shared" si="4"/>
        <v>1.9404920000000001</v>
      </c>
      <c r="AD47" s="275">
        <v>1.9404920000000001</v>
      </c>
      <c r="AE47" s="275"/>
      <c r="AF47" s="275"/>
      <c r="AG47" s="221"/>
      <c r="AH47" s="221"/>
      <c r="AI47" s="214"/>
      <c r="AJ47" s="215"/>
      <c r="AK47" s="215"/>
      <c r="AL47" s="353" t="s">
        <v>1287</v>
      </c>
      <c r="AM47" s="211"/>
      <c r="AN47" s="216"/>
      <c r="AO47" s="208"/>
      <c r="AP47" s="216"/>
      <c r="AQ47" s="283" t="s">
        <v>754</v>
      </c>
      <c r="AR47" s="203"/>
    </row>
    <row r="48" spans="1:44" ht="51.75" customHeight="1" x14ac:dyDescent="0.2">
      <c r="A48" s="21" t="s">
        <v>743</v>
      </c>
      <c r="B48" s="22" t="s">
        <v>1107</v>
      </c>
      <c r="C48" s="22"/>
      <c r="D48" s="56" t="s">
        <v>747</v>
      </c>
      <c r="E48" s="134" t="s">
        <v>112</v>
      </c>
      <c r="F48" s="150" t="s">
        <v>113</v>
      </c>
      <c r="G48" s="90" t="s">
        <v>746</v>
      </c>
      <c r="H48" s="90"/>
      <c r="I48" s="255" t="s">
        <v>756</v>
      </c>
      <c r="J48" s="263" t="s">
        <v>757</v>
      </c>
      <c r="K48" s="28" t="s">
        <v>762</v>
      </c>
      <c r="L48" s="22" t="s">
        <v>1420</v>
      </c>
      <c r="M48" s="22" t="s">
        <v>761</v>
      </c>
      <c r="N48" s="22" t="s">
        <v>759</v>
      </c>
      <c r="O48" s="67">
        <v>41640</v>
      </c>
      <c r="P48" s="82">
        <v>7</v>
      </c>
      <c r="Q48" s="27">
        <v>41717</v>
      </c>
      <c r="R48" s="255" t="s">
        <v>288</v>
      </c>
      <c r="S48" s="489"/>
      <c r="T48" s="223"/>
      <c r="U48" s="296"/>
      <c r="V48" s="91"/>
      <c r="W48" s="120"/>
      <c r="X48" s="139">
        <f t="shared" si="3"/>
        <v>8.3333333333333339</v>
      </c>
      <c r="Y48" s="255"/>
      <c r="Z48" s="140"/>
      <c r="AA48" s="74"/>
      <c r="AB48" s="72"/>
      <c r="AC48" s="76">
        <f t="shared" si="4"/>
        <v>8.3333333333333339</v>
      </c>
      <c r="AD48" s="76">
        <f>7/0.84</f>
        <v>8.3333333333333339</v>
      </c>
      <c r="AE48" s="76"/>
      <c r="AF48" s="76"/>
      <c r="AG48" s="69"/>
      <c r="AH48" s="69">
        <v>1.97</v>
      </c>
      <c r="AI48" s="58"/>
      <c r="AJ48" s="62"/>
      <c r="AK48" s="62" t="s">
        <v>758</v>
      </c>
      <c r="AL48" s="350" t="s">
        <v>1474</v>
      </c>
      <c r="AM48" s="38"/>
      <c r="AN48" s="41"/>
      <c r="AO48" s="82"/>
      <c r="AP48" s="41"/>
      <c r="AQ48" s="282" t="s">
        <v>1311</v>
      </c>
      <c r="AR48" s="24"/>
    </row>
    <row r="49" spans="1:44" ht="36.75" customHeight="1" x14ac:dyDescent="0.2">
      <c r="A49" s="21" t="s">
        <v>765</v>
      </c>
      <c r="B49" s="22" t="s">
        <v>1110</v>
      </c>
      <c r="C49" s="22"/>
      <c r="D49" s="56" t="s">
        <v>766</v>
      </c>
      <c r="E49" s="132" t="s">
        <v>112</v>
      </c>
      <c r="F49" s="133" t="s">
        <v>117</v>
      </c>
      <c r="G49" s="134" t="s">
        <v>74</v>
      </c>
      <c r="H49" s="90"/>
      <c r="I49" s="255" t="s">
        <v>771</v>
      </c>
      <c r="J49" s="263" t="s">
        <v>770</v>
      </c>
      <c r="K49" s="28" t="s">
        <v>767</v>
      </c>
      <c r="L49" s="22" t="s">
        <v>1420</v>
      </c>
      <c r="M49" s="22" t="s">
        <v>434</v>
      </c>
      <c r="N49" s="22" t="s">
        <v>759</v>
      </c>
      <c r="O49" s="67">
        <v>42005</v>
      </c>
      <c r="P49" s="82">
        <v>5</v>
      </c>
      <c r="Q49" s="27">
        <v>41732</v>
      </c>
      <c r="R49" s="255" t="s">
        <v>290</v>
      </c>
      <c r="S49" s="358" t="s">
        <v>773</v>
      </c>
      <c r="T49" s="223"/>
      <c r="U49" s="296"/>
      <c r="V49" s="91"/>
      <c r="W49" s="120"/>
      <c r="X49" s="139">
        <f t="shared" si="3"/>
        <v>7.5</v>
      </c>
      <c r="Y49" s="255"/>
      <c r="Z49" s="140"/>
      <c r="AA49" s="74" t="s">
        <v>769</v>
      </c>
      <c r="AB49" s="25">
        <v>0.5</v>
      </c>
      <c r="AC49" s="76">
        <f t="shared" si="4"/>
        <v>7</v>
      </c>
      <c r="AD49" s="76">
        <v>7</v>
      </c>
      <c r="AE49" s="76"/>
      <c r="AF49" s="76"/>
      <c r="AG49" s="69"/>
      <c r="AH49" s="69">
        <f>100.306*1.103/1000</f>
        <v>0.110637518</v>
      </c>
      <c r="AI49" s="58">
        <f>AH49*5/2</f>
        <v>0.27659379500000003</v>
      </c>
      <c r="AJ49" s="62"/>
      <c r="AK49" s="62" t="s">
        <v>768</v>
      </c>
      <c r="AL49" s="350" t="s">
        <v>1476</v>
      </c>
      <c r="AM49" s="38"/>
      <c r="AN49" s="41"/>
      <c r="AO49" s="82"/>
      <c r="AP49" s="41"/>
      <c r="AQ49" s="282" t="s">
        <v>772</v>
      </c>
      <c r="AR49" s="24"/>
    </row>
    <row r="50" spans="1:44" ht="52.5" customHeight="1" x14ac:dyDescent="0.2">
      <c r="A50" s="21" t="s">
        <v>777</v>
      </c>
      <c r="B50" s="22" t="s">
        <v>1108</v>
      </c>
      <c r="C50" s="22"/>
      <c r="D50" s="56" t="s">
        <v>778</v>
      </c>
      <c r="E50" s="24" t="s">
        <v>112</v>
      </c>
      <c r="F50" s="26" t="s">
        <v>115</v>
      </c>
      <c r="G50" s="24" t="s">
        <v>65</v>
      </c>
      <c r="H50" s="90"/>
      <c r="I50" s="255" t="s">
        <v>779</v>
      </c>
      <c r="J50" s="263" t="s">
        <v>1184</v>
      </c>
      <c r="K50" s="28" t="s">
        <v>780</v>
      </c>
      <c r="L50" s="22" t="s">
        <v>1437</v>
      </c>
      <c r="M50" s="22" t="s">
        <v>620</v>
      </c>
      <c r="N50" s="91" t="s">
        <v>782</v>
      </c>
      <c r="O50" s="383"/>
      <c r="P50" s="82">
        <v>6</v>
      </c>
      <c r="Q50" s="27">
        <v>41774</v>
      </c>
      <c r="R50" s="255" t="s">
        <v>290</v>
      </c>
      <c r="S50" s="489" t="s">
        <v>781</v>
      </c>
      <c r="T50" s="223"/>
      <c r="U50" s="296"/>
      <c r="V50" s="91"/>
      <c r="W50" s="120"/>
      <c r="X50" s="139">
        <f t="shared" si="3"/>
        <v>294</v>
      </c>
      <c r="Y50" s="255" t="s">
        <v>783</v>
      </c>
      <c r="Z50" s="140">
        <f>294-AC50</f>
        <v>263.5</v>
      </c>
      <c r="AA50" s="74"/>
      <c r="AB50" s="25"/>
      <c r="AC50" s="76">
        <f t="shared" si="4"/>
        <v>30.5</v>
      </c>
      <c r="AD50" s="76">
        <v>19</v>
      </c>
      <c r="AE50" s="76">
        <v>11.5</v>
      </c>
      <c r="AF50" s="76">
        <v>0</v>
      </c>
      <c r="AG50" s="69"/>
      <c r="AH50" s="69">
        <v>0.42499999999999999</v>
      </c>
      <c r="AI50" s="58"/>
      <c r="AJ50" s="62" t="s">
        <v>785</v>
      </c>
      <c r="AK50" s="62" t="s">
        <v>786</v>
      </c>
      <c r="AL50" s="350" t="s">
        <v>1475</v>
      </c>
      <c r="AM50" s="38"/>
      <c r="AN50" s="41"/>
      <c r="AO50" s="82">
        <v>1.85</v>
      </c>
      <c r="AP50" s="41"/>
      <c r="AQ50" s="282"/>
      <c r="AR50" s="24" t="s">
        <v>787</v>
      </c>
    </row>
    <row r="51" spans="1:44" ht="49.5" customHeight="1" x14ac:dyDescent="0.2">
      <c r="A51" s="200" t="s">
        <v>794</v>
      </c>
      <c r="B51" s="201" t="s">
        <v>1112</v>
      </c>
      <c r="C51" s="201"/>
      <c r="D51" s="202" t="s">
        <v>795</v>
      </c>
      <c r="E51" s="225" t="s">
        <v>109</v>
      </c>
      <c r="F51" s="226" t="s">
        <v>110</v>
      </c>
      <c r="G51" s="227" t="s">
        <v>796</v>
      </c>
      <c r="H51" s="217"/>
      <c r="I51" s="270" t="s">
        <v>798</v>
      </c>
      <c r="J51" s="264" t="s">
        <v>1185</v>
      </c>
      <c r="K51" s="205" t="s">
        <v>797</v>
      </c>
      <c r="L51" s="201" t="s">
        <v>1440</v>
      </c>
      <c r="M51" s="201" t="s">
        <v>760</v>
      </c>
      <c r="N51" s="218"/>
      <c r="O51" s="207">
        <v>42005</v>
      </c>
      <c r="P51" s="208">
        <v>1.5</v>
      </c>
      <c r="Q51" s="209">
        <v>41785</v>
      </c>
      <c r="R51" s="270" t="s">
        <v>288</v>
      </c>
      <c r="S51" s="269" t="s">
        <v>801</v>
      </c>
      <c r="T51" s="224" t="s">
        <v>840</v>
      </c>
      <c r="U51" s="297"/>
      <c r="V51" s="218" t="s">
        <v>663</v>
      </c>
      <c r="W51" s="219">
        <v>0.1</v>
      </c>
      <c r="X51" s="276">
        <f t="shared" si="3"/>
        <v>0.1</v>
      </c>
      <c r="Y51" s="270"/>
      <c r="Z51" s="302"/>
      <c r="AA51" s="212"/>
      <c r="AB51" s="213"/>
      <c r="AC51" s="275">
        <f t="shared" si="4"/>
        <v>0.1</v>
      </c>
      <c r="AD51" s="275">
        <v>0.1</v>
      </c>
      <c r="AE51" s="275">
        <v>0</v>
      </c>
      <c r="AF51" s="275">
        <v>0</v>
      </c>
      <c r="AG51" s="221"/>
      <c r="AH51" s="221"/>
      <c r="AI51" s="214"/>
      <c r="AJ51" s="215"/>
      <c r="AK51" s="215"/>
      <c r="AL51" s="214" t="s">
        <v>1462</v>
      </c>
      <c r="AM51" s="211"/>
      <c r="AN51" s="216"/>
      <c r="AO51" s="208"/>
      <c r="AP51" s="216"/>
      <c r="AQ51" s="283" t="s">
        <v>800</v>
      </c>
      <c r="AR51" s="283" t="s">
        <v>799</v>
      </c>
    </row>
    <row r="52" spans="1:44" ht="49.5" customHeight="1" x14ac:dyDescent="0.2">
      <c r="A52" s="200" t="s">
        <v>802</v>
      </c>
      <c r="B52" s="201" t="s">
        <v>804</v>
      </c>
      <c r="C52" s="201"/>
      <c r="D52" s="202" t="s">
        <v>806</v>
      </c>
      <c r="E52" s="228" t="s">
        <v>106</v>
      </c>
      <c r="F52" s="229" t="s">
        <v>124</v>
      </c>
      <c r="G52" s="217" t="s">
        <v>73</v>
      </c>
      <c r="H52" s="217"/>
      <c r="I52" s="270" t="s">
        <v>1186</v>
      </c>
      <c r="J52" s="264" t="s">
        <v>811</v>
      </c>
      <c r="K52" s="205" t="s">
        <v>808</v>
      </c>
      <c r="L52" s="201" t="s">
        <v>1442</v>
      </c>
      <c r="M52" s="201" t="s">
        <v>761</v>
      </c>
      <c r="N52" s="218" t="s">
        <v>809</v>
      </c>
      <c r="O52" s="207">
        <v>41821</v>
      </c>
      <c r="P52" s="208">
        <v>5</v>
      </c>
      <c r="Q52" s="209">
        <v>41795</v>
      </c>
      <c r="R52" s="270" t="s">
        <v>290</v>
      </c>
      <c r="S52" s="269" t="s">
        <v>824</v>
      </c>
      <c r="T52" s="224" t="s">
        <v>840</v>
      </c>
      <c r="U52" s="297"/>
      <c r="V52" s="218" t="s">
        <v>662</v>
      </c>
      <c r="W52" s="210">
        <f>14/0.84</f>
        <v>16.666666666666668</v>
      </c>
      <c r="X52" s="276">
        <f t="shared" si="3"/>
        <v>895.3</v>
      </c>
      <c r="Y52" s="270"/>
      <c r="Z52" s="302"/>
      <c r="AA52" s="212"/>
      <c r="AB52" s="213"/>
      <c r="AC52" s="275">
        <f t="shared" si="4"/>
        <v>895.3</v>
      </c>
      <c r="AD52" s="275">
        <f>895.3-72.1</f>
        <v>823.19999999999993</v>
      </c>
      <c r="AE52" s="275">
        <v>72.099999999999994</v>
      </c>
      <c r="AF52" s="275">
        <v>0</v>
      </c>
      <c r="AG52" s="221"/>
      <c r="AH52" s="221">
        <v>1.2</v>
      </c>
      <c r="AI52" s="214"/>
      <c r="AJ52" s="215" t="s">
        <v>810</v>
      </c>
      <c r="AK52" s="215" t="s">
        <v>1310</v>
      </c>
      <c r="AL52" s="353" t="s">
        <v>1312</v>
      </c>
      <c r="AM52" s="211"/>
      <c r="AN52" s="216"/>
      <c r="AO52" s="208"/>
      <c r="AP52" s="216"/>
      <c r="AQ52" s="370" t="s">
        <v>1636</v>
      </c>
      <c r="AR52" s="283"/>
    </row>
    <row r="53" spans="1:44" ht="49.5" customHeight="1" x14ac:dyDescent="0.2">
      <c r="A53" s="157" t="s">
        <v>803</v>
      </c>
      <c r="B53" s="158" t="s">
        <v>805</v>
      </c>
      <c r="C53" s="158" t="s">
        <v>1141</v>
      </c>
      <c r="D53" s="159" t="s">
        <v>807</v>
      </c>
      <c r="E53" s="288" t="s">
        <v>106</v>
      </c>
      <c r="F53" s="289" t="s">
        <v>124</v>
      </c>
      <c r="G53" s="290" t="s">
        <v>73</v>
      </c>
      <c r="H53" s="290"/>
      <c r="I53" s="268" t="s">
        <v>1186</v>
      </c>
      <c r="J53" s="273" t="s">
        <v>811</v>
      </c>
      <c r="K53" s="162" t="s">
        <v>808</v>
      </c>
      <c r="L53" s="158" t="s">
        <v>1442</v>
      </c>
      <c r="M53" s="158" t="s">
        <v>761</v>
      </c>
      <c r="N53" s="182" t="s">
        <v>812</v>
      </c>
      <c r="O53" s="291">
        <v>41821</v>
      </c>
      <c r="P53" s="197">
        <v>1</v>
      </c>
      <c r="Q53" s="164">
        <v>41798</v>
      </c>
      <c r="R53" s="268" t="s">
        <v>290</v>
      </c>
      <c r="S53" s="287"/>
      <c r="T53" s="292" t="s">
        <v>1229</v>
      </c>
      <c r="U53" s="299" t="s">
        <v>2434</v>
      </c>
      <c r="V53" s="182"/>
      <c r="W53" s="165"/>
      <c r="X53" s="277">
        <f t="shared" si="3"/>
        <v>0.878</v>
      </c>
      <c r="Y53" s="268"/>
      <c r="Z53" s="301"/>
      <c r="AA53" s="167"/>
      <c r="AB53" s="168"/>
      <c r="AC53" s="274">
        <f t="shared" si="4"/>
        <v>0.878</v>
      </c>
      <c r="AD53" s="274">
        <v>0.752</v>
      </c>
      <c r="AE53" s="274">
        <v>0.126</v>
      </c>
      <c r="AF53" s="274"/>
      <c r="AG53" s="293"/>
      <c r="AH53" s="293">
        <v>0.5</v>
      </c>
      <c r="AI53" s="170"/>
      <c r="AJ53" s="171" t="s">
        <v>810</v>
      </c>
      <c r="AK53" s="290" t="s">
        <v>1310</v>
      </c>
      <c r="AL53" s="384"/>
      <c r="AM53" s="166"/>
      <c r="AN53" s="172"/>
      <c r="AO53" s="197"/>
      <c r="AP53" s="172"/>
      <c r="AQ53" s="294"/>
      <c r="AR53" s="294"/>
    </row>
    <row r="54" spans="1:44" ht="52.5" customHeight="1" x14ac:dyDescent="0.2">
      <c r="A54" s="21" t="s">
        <v>815</v>
      </c>
      <c r="B54" s="22" t="s">
        <v>816</v>
      </c>
      <c r="C54" s="22"/>
      <c r="D54" s="56" t="s">
        <v>814</v>
      </c>
      <c r="E54" s="88" t="s">
        <v>106</v>
      </c>
      <c r="F54" s="89" t="s">
        <v>124</v>
      </c>
      <c r="G54" s="90" t="s">
        <v>73</v>
      </c>
      <c r="H54" s="90"/>
      <c r="I54" s="255" t="s">
        <v>1313</v>
      </c>
      <c r="J54" s="263" t="s">
        <v>817</v>
      </c>
      <c r="K54" s="28" t="s">
        <v>808</v>
      </c>
      <c r="L54" s="22" t="s">
        <v>1420</v>
      </c>
      <c r="M54" s="22" t="s">
        <v>761</v>
      </c>
      <c r="N54" s="91" t="s">
        <v>809</v>
      </c>
      <c r="O54" s="67">
        <v>41821</v>
      </c>
      <c r="P54" s="82">
        <v>1</v>
      </c>
      <c r="Q54" s="27">
        <v>41820</v>
      </c>
      <c r="R54" s="255" t="s">
        <v>288</v>
      </c>
      <c r="S54" s="489"/>
      <c r="T54" s="223"/>
      <c r="U54" s="296"/>
      <c r="V54" s="91"/>
      <c r="W54" s="120"/>
      <c r="X54" s="139">
        <f t="shared" si="3"/>
        <v>0.9</v>
      </c>
      <c r="Y54" s="255"/>
      <c r="Z54" s="139">
        <v>0.9</v>
      </c>
      <c r="AA54" s="74"/>
      <c r="AB54" s="25"/>
      <c r="AC54" s="76">
        <f t="shared" si="4"/>
        <v>0</v>
      </c>
      <c r="AD54" s="76"/>
      <c r="AE54" s="76"/>
      <c r="AF54" s="76"/>
      <c r="AG54" s="69"/>
      <c r="AH54" s="69"/>
      <c r="AI54" s="58"/>
      <c r="AJ54" s="62"/>
      <c r="AK54" s="151"/>
      <c r="AL54" s="350" t="s">
        <v>1234</v>
      </c>
      <c r="AM54" s="38"/>
      <c r="AN54" s="41"/>
      <c r="AO54" s="82"/>
      <c r="AP54" s="41"/>
      <c r="AQ54" s="282"/>
      <c r="AR54" s="282"/>
    </row>
    <row r="55" spans="1:44" ht="52.5" customHeight="1" x14ac:dyDescent="0.2">
      <c r="A55" s="21" t="s">
        <v>825</v>
      </c>
      <c r="B55" s="22" t="s">
        <v>826</v>
      </c>
      <c r="C55" s="22"/>
      <c r="D55" s="56" t="s">
        <v>2250</v>
      </c>
      <c r="E55" s="88" t="s">
        <v>106</v>
      </c>
      <c r="F55" s="89" t="s">
        <v>107</v>
      </c>
      <c r="G55" s="90" t="s">
        <v>346</v>
      </c>
      <c r="H55" s="90"/>
      <c r="I55" s="255" t="s">
        <v>829</v>
      </c>
      <c r="J55" s="263" t="s">
        <v>830</v>
      </c>
      <c r="K55" s="28" t="s">
        <v>351</v>
      </c>
      <c r="L55" s="342" t="s">
        <v>1437</v>
      </c>
      <c r="M55" s="342" t="s">
        <v>620</v>
      </c>
      <c r="N55" s="343" t="s">
        <v>842</v>
      </c>
      <c r="O55" s="67">
        <v>41821</v>
      </c>
      <c r="P55" s="82">
        <v>3</v>
      </c>
      <c r="Q55" s="27">
        <v>41852</v>
      </c>
      <c r="R55" s="255" t="s">
        <v>290</v>
      </c>
      <c r="S55" s="309" t="s">
        <v>827</v>
      </c>
      <c r="T55" s="223"/>
      <c r="U55" s="296"/>
      <c r="V55" s="91"/>
      <c r="W55" s="120"/>
      <c r="X55" s="139">
        <f t="shared" si="3"/>
        <v>145.30000000000001</v>
      </c>
      <c r="Y55" s="255" t="s">
        <v>828</v>
      </c>
      <c r="Z55" s="139">
        <v>145.30000000000001</v>
      </c>
      <c r="AA55" s="74"/>
      <c r="AB55" s="25"/>
      <c r="AC55" s="76">
        <f t="shared" si="4"/>
        <v>0</v>
      </c>
      <c r="AD55" s="76"/>
      <c r="AE55" s="76"/>
      <c r="AF55" s="76"/>
      <c r="AG55" s="69">
        <v>5.8000000000000003E-2</v>
      </c>
      <c r="AH55" s="69">
        <f>AG55</f>
        <v>5.8000000000000003E-2</v>
      </c>
      <c r="AI55" s="58"/>
      <c r="AJ55" s="62"/>
      <c r="AK55" s="151"/>
      <c r="AL55" s="350" t="s">
        <v>1315</v>
      </c>
      <c r="AM55" s="38"/>
      <c r="AN55" s="41"/>
      <c r="AO55" s="82"/>
      <c r="AP55" s="41"/>
      <c r="AQ55" s="282" t="s">
        <v>831</v>
      </c>
      <c r="AR55" s="282"/>
    </row>
    <row r="56" spans="1:44" ht="52.5" customHeight="1" x14ac:dyDescent="0.2">
      <c r="A56" s="200" t="s">
        <v>832</v>
      </c>
      <c r="B56" s="201" t="s">
        <v>834</v>
      </c>
      <c r="C56" s="201"/>
      <c r="D56" s="202" t="s">
        <v>835</v>
      </c>
      <c r="E56" s="347" t="s">
        <v>105</v>
      </c>
      <c r="F56" s="348" t="s">
        <v>103</v>
      </c>
      <c r="G56" s="217" t="s">
        <v>833</v>
      </c>
      <c r="H56" s="217"/>
      <c r="I56" s="270" t="s">
        <v>838</v>
      </c>
      <c r="J56" s="270" t="s">
        <v>839</v>
      </c>
      <c r="K56" s="205" t="s">
        <v>837</v>
      </c>
      <c r="L56" s="201" t="s">
        <v>1435</v>
      </c>
      <c r="M56" s="201" t="s">
        <v>27</v>
      </c>
      <c r="N56" s="218" t="s">
        <v>843</v>
      </c>
      <c r="O56" s="207">
        <v>42005</v>
      </c>
      <c r="P56" s="208">
        <v>5</v>
      </c>
      <c r="Q56" s="209">
        <v>41876</v>
      </c>
      <c r="R56" s="270" t="s">
        <v>290</v>
      </c>
      <c r="S56" s="269" t="s">
        <v>836</v>
      </c>
      <c r="T56" s="224" t="s">
        <v>840</v>
      </c>
      <c r="U56" s="297"/>
      <c r="V56" s="218" t="s">
        <v>663</v>
      </c>
      <c r="W56" s="219">
        <v>3.5</v>
      </c>
      <c r="X56" s="276">
        <f t="shared" si="3"/>
        <v>500</v>
      </c>
      <c r="Y56" s="270"/>
      <c r="Z56" s="302"/>
      <c r="AA56" s="212"/>
      <c r="AB56" s="213"/>
      <c r="AC56" s="275">
        <f t="shared" si="4"/>
        <v>500</v>
      </c>
      <c r="AD56" s="275">
        <v>300</v>
      </c>
      <c r="AE56" s="275">
        <v>200</v>
      </c>
      <c r="AF56" s="275"/>
      <c r="AG56" s="221"/>
      <c r="AH56" s="221"/>
      <c r="AI56" s="214"/>
      <c r="AJ56" s="215"/>
      <c r="AK56" s="494"/>
      <c r="AL56" s="353" t="s">
        <v>1314</v>
      </c>
      <c r="AM56" s="211"/>
      <c r="AN56" s="216"/>
      <c r="AO56" s="208"/>
      <c r="AP56" s="216"/>
      <c r="AQ56" s="283"/>
      <c r="AR56" s="283" t="s">
        <v>841</v>
      </c>
    </row>
    <row r="57" spans="1:44" ht="61.5" customHeight="1" x14ac:dyDescent="0.2">
      <c r="A57" s="21" t="s">
        <v>848</v>
      </c>
      <c r="B57" s="22" t="s">
        <v>849</v>
      </c>
      <c r="C57" s="22"/>
      <c r="D57" s="56" t="s">
        <v>847</v>
      </c>
      <c r="E57" s="24" t="s">
        <v>106</v>
      </c>
      <c r="F57" s="26" t="s">
        <v>108</v>
      </c>
      <c r="G57" s="24" t="s">
        <v>46</v>
      </c>
      <c r="H57" s="90" t="s">
        <v>1317</v>
      </c>
      <c r="I57" s="255" t="s">
        <v>1316</v>
      </c>
      <c r="J57" s="489" t="s">
        <v>1187</v>
      </c>
      <c r="K57" s="28" t="s">
        <v>850</v>
      </c>
      <c r="L57" s="22" t="s">
        <v>328</v>
      </c>
      <c r="M57" s="22" t="s">
        <v>851</v>
      </c>
      <c r="N57" s="22" t="s">
        <v>852</v>
      </c>
      <c r="O57" s="67">
        <v>42005</v>
      </c>
      <c r="P57" s="82">
        <v>2</v>
      </c>
      <c r="Q57" s="27">
        <v>41893</v>
      </c>
      <c r="R57" s="255" t="s">
        <v>290</v>
      </c>
      <c r="S57" s="381" t="s">
        <v>1318</v>
      </c>
      <c r="T57" s="223"/>
      <c r="U57" s="296"/>
      <c r="V57" s="91"/>
      <c r="W57" s="120"/>
      <c r="X57" s="139">
        <f t="shared" si="3"/>
        <v>17.600000000000001</v>
      </c>
      <c r="Y57" s="255"/>
      <c r="Z57" s="140">
        <v>8</v>
      </c>
      <c r="AA57" s="74"/>
      <c r="AB57" s="25"/>
      <c r="AC57" s="76">
        <f t="shared" si="4"/>
        <v>9.6</v>
      </c>
      <c r="AD57" s="76">
        <v>9.6</v>
      </c>
      <c r="AE57" s="76">
        <v>0</v>
      </c>
      <c r="AF57" s="76">
        <v>0</v>
      </c>
      <c r="AG57" s="69"/>
      <c r="AH57" s="69">
        <f>AI57/10</f>
        <v>0.14299999999999999</v>
      </c>
      <c r="AI57" s="58">
        <v>1.43</v>
      </c>
      <c r="AJ57" s="62" t="s">
        <v>854</v>
      </c>
      <c r="AK57" s="151"/>
      <c r="AL57" s="362" t="s">
        <v>1479</v>
      </c>
      <c r="AM57" s="38"/>
      <c r="AN57" s="41"/>
      <c r="AO57" s="82"/>
      <c r="AP57" s="41"/>
      <c r="AQ57" s="282" t="s">
        <v>855</v>
      </c>
      <c r="AR57" s="282" t="s">
        <v>853</v>
      </c>
    </row>
    <row r="58" spans="1:44" ht="52.5" customHeight="1" x14ac:dyDescent="0.2">
      <c r="A58" s="200" t="s">
        <v>856</v>
      </c>
      <c r="B58" s="201" t="s">
        <v>857</v>
      </c>
      <c r="C58" s="201"/>
      <c r="D58" s="202" t="s">
        <v>858</v>
      </c>
      <c r="E58" s="253" t="s">
        <v>109</v>
      </c>
      <c r="F58" s="254" t="s">
        <v>110</v>
      </c>
      <c r="G58" s="203" t="s">
        <v>193</v>
      </c>
      <c r="H58" s="217"/>
      <c r="I58" s="270" t="s">
        <v>859</v>
      </c>
      <c r="J58" s="269" t="s">
        <v>1319</v>
      </c>
      <c r="K58" s="205" t="s">
        <v>797</v>
      </c>
      <c r="L58" s="201" t="s">
        <v>1441</v>
      </c>
      <c r="M58" s="201" t="s">
        <v>760</v>
      </c>
      <c r="N58" s="218" t="s">
        <v>860</v>
      </c>
      <c r="O58" s="207">
        <v>42005</v>
      </c>
      <c r="P58" s="208">
        <v>1.5</v>
      </c>
      <c r="Q58" s="209">
        <v>41928</v>
      </c>
      <c r="R58" s="270" t="s">
        <v>288</v>
      </c>
      <c r="S58" s="269" t="s">
        <v>861</v>
      </c>
      <c r="T58" s="224" t="s">
        <v>840</v>
      </c>
      <c r="U58" s="297"/>
      <c r="V58" s="218" t="s">
        <v>663</v>
      </c>
      <c r="W58" s="249">
        <v>5.93</v>
      </c>
      <c r="X58" s="276">
        <f t="shared" si="3"/>
        <v>0.15</v>
      </c>
      <c r="Y58" s="270"/>
      <c r="Z58" s="302"/>
      <c r="AA58" s="212"/>
      <c r="AB58" s="213"/>
      <c r="AC58" s="275">
        <f t="shared" si="4"/>
        <v>0.15</v>
      </c>
      <c r="AD58" s="275">
        <v>0.15</v>
      </c>
      <c r="AE58" s="275"/>
      <c r="AF58" s="275"/>
      <c r="AG58" s="221"/>
      <c r="AH58" s="221"/>
      <c r="AI58" s="214"/>
      <c r="AJ58" s="215"/>
      <c r="AK58" s="494"/>
      <c r="AL58" s="353" t="s">
        <v>1395</v>
      </c>
      <c r="AM58" s="211"/>
      <c r="AN58" s="216"/>
      <c r="AO58" s="208"/>
      <c r="AP58" s="216"/>
      <c r="AQ58" s="283" t="s">
        <v>862</v>
      </c>
      <c r="AR58" s="283"/>
    </row>
    <row r="59" spans="1:44" ht="63.75" customHeight="1" x14ac:dyDescent="0.2">
      <c r="A59" s="21" t="s">
        <v>868</v>
      </c>
      <c r="B59" s="22" t="s">
        <v>871</v>
      </c>
      <c r="C59" s="22"/>
      <c r="D59" s="56" t="s">
        <v>870</v>
      </c>
      <c r="E59" s="234" t="s">
        <v>109</v>
      </c>
      <c r="F59" s="235" t="s">
        <v>110</v>
      </c>
      <c r="G59" s="24" t="s">
        <v>30</v>
      </c>
      <c r="H59" s="90"/>
      <c r="I59" s="255" t="s">
        <v>872</v>
      </c>
      <c r="J59" s="489" t="s">
        <v>879</v>
      </c>
      <c r="K59" s="28" t="s">
        <v>873</v>
      </c>
      <c r="L59" s="22" t="s">
        <v>1434</v>
      </c>
      <c r="M59" s="22" t="s">
        <v>760</v>
      </c>
      <c r="N59" s="91" t="s">
        <v>874</v>
      </c>
      <c r="O59" s="67">
        <v>42005</v>
      </c>
      <c r="P59" s="82">
        <v>6</v>
      </c>
      <c r="Q59" s="27">
        <v>41938</v>
      </c>
      <c r="R59" s="255" t="s">
        <v>290</v>
      </c>
      <c r="S59" s="489" t="s">
        <v>875</v>
      </c>
      <c r="T59" s="223"/>
      <c r="U59" s="296"/>
      <c r="V59" s="91" t="s">
        <v>979</v>
      </c>
      <c r="W59" s="250"/>
      <c r="X59" s="139">
        <f t="shared" si="3"/>
        <v>224.5</v>
      </c>
      <c r="Y59" s="255" t="s">
        <v>876</v>
      </c>
      <c r="Z59" s="140">
        <v>200</v>
      </c>
      <c r="AA59" s="74"/>
      <c r="AB59" s="25"/>
      <c r="AC59" s="76">
        <f t="shared" si="4"/>
        <v>24.5</v>
      </c>
      <c r="AD59" s="76">
        <v>24.5</v>
      </c>
      <c r="AE59" s="76"/>
      <c r="AF59" s="76"/>
      <c r="AG59" s="69"/>
      <c r="AH59" s="69">
        <v>0.1</v>
      </c>
      <c r="AI59" s="58"/>
      <c r="AJ59" s="62"/>
      <c r="AK59" s="24" t="s">
        <v>877</v>
      </c>
      <c r="AL59" s="363" t="s">
        <v>1484</v>
      </c>
      <c r="AM59" s="38"/>
      <c r="AN59" s="41"/>
      <c r="AO59" s="82"/>
      <c r="AP59" s="41"/>
      <c r="AQ59" s="282" t="s">
        <v>878</v>
      </c>
      <c r="AR59" s="282"/>
    </row>
    <row r="60" spans="1:44" ht="78" customHeight="1" x14ac:dyDescent="0.2">
      <c r="A60" s="200" t="s">
        <v>869</v>
      </c>
      <c r="B60" s="201" t="s">
        <v>881</v>
      </c>
      <c r="C60" s="201"/>
      <c r="D60" s="202" t="s">
        <v>880</v>
      </c>
      <c r="E60" s="203" t="s">
        <v>106</v>
      </c>
      <c r="F60" s="204" t="s">
        <v>108</v>
      </c>
      <c r="G60" s="203" t="s">
        <v>55</v>
      </c>
      <c r="H60" s="217"/>
      <c r="I60" s="270" t="s">
        <v>885</v>
      </c>
      <c r="J60" s="269" t="s">
        <v>883</v>
      </c>
      <c r="K60" s="205" t="s">
        <v>884</v>
      </c>
      <c r="L60" s="201" t="s">
        <v>328</v>
      </c>
      <c r="M60" s="201" t="s">
        <v>882</v>
      </c>
      <c r="N60" s="218" t="s">
        <v>1188</v>
      </c>
      <c r="O60" s="207">
        <v>42005</v>
      </c>
      <c r="P60" s="208">
        <v>4</v>
      </c>
      <c r="Q60" s="209">
        <v>41938</v>
      </c>
      <c r="R60" s="270" t="s">
        <v>290</v>
      </c>
      <c r="S60" s="269" t="s">
        <v>886</v>
      </c>
      <c r="T60" s="224" t="s">
        <v>840</v>
      </c>
      <c r="U60" s="297"/>
      <c r="V60" s="218" t="s">
        <v>662</v>
      </c>
      <c r="W60" s="219">
        <v>18.5</v>
      </c>
      <c r="X60" s="276">
        <f t="shared" si="3"/>
        <v>19</v>
      </c>
      <c r="Y60" s="270"/>
      <c r="Z60" s="302"/>
      <c r="AA60" s="212"/>
      <c r="AB60" s="213"/>
      <c r="AC60" s="275">
        <f t="shared" si="4"/>
        <v>19</v>
      </c>
      <c r="AD60" s="275">
        <v>19</v>
      </c>
      <c r="AE60" s="275"/>
      <c r="AF60" s="275"/>
      <c r="AG60" s="221"/>
      <c r="AH60" s="221"/>
      <c r="AI60" s="214"/>
      <c r="AJ60" s="215" t="s">
        <v>1189</v>
      </c>
      <c r="AK60" s="203" t="s">
        <v>887</v>
      </c>
      <c r="AL60" s="353" t="s">
        <v>1480</v>
      </c>
      <c r="AM60" s="211"/>
      <c r="AN60" s="216"/>
      <c r="AO60" s="208"/>
      <c r="AP60" s="216"/>
      <c r="AQ60" s="283" t="s">
        <v>1637</v>
      </c>
      <c r="AR60" s="283"/>
    </row>
    <row r="61" spans="1:44" ht="60.75" customHeight="1" x14ac:dyDescent="0.2">
      <c r="A61" s="21" t="s">
        <v>902</v>
      </c>
      <c r="B61" s="22" t="s">
        <v>908</v>
      </c>
      <c r="C61" s="22"/>
      <c r="D61" s="56" t="s">
        <v>901</v>
      </c>
      <c r="E61" s="134" t="s">
        <v>112</v>
      </c>
      <c r="F61" s="150" t="s">
        <v>113</v>
      </c>
      <c r="G61" s="90" t="s">
        <v>746</v>
      </c>
      <c r="H61" s="90"/>
      <c r="I61" s="255" t="s">
        <v>909</v>
      </c>
      <c r="J61" s="489" t="s">
        <v>1190</v>
      </c>
      <c r="K61" s="28" t="s">
        <v>941</v>
      </c>
      <c r="L61" s="22" t="s">
        <v>1435</v>
      </c>
      <c r="M61" s="22" t="s">
        <v>912</v>
      </c>
      <c r="N61" s="91" t="s">
        <v>913</v>
      </c>
      <c r="O61" s="67">
        <v>42005</v>
      </c>
      <c r="P61" s="82">
        <v>3</v>
      </c>
      <c r="Q61" s="27">
        <v>41943</v>
      </c>
      <c r="R61" s="255" t="s">
        <v>288</v>
      </c>
      <c r="S61" s="489" t="s">
        <v>1191</v>
      </c>
      <c r="T61" s="223"/>
      <c r="U61" s="296"/>
      <c r="V61" s="91"/>
      <c r="W61" s="250"/>
      <c r="X61" s="139">
        <f t="shared" si="3"/>
        <v>18.835705000000001</v>
      </c>
      <c r="Y61" s="255"/>
      <c r="Z61" s="140"/>
      <c r="AA61" s="74"/>
      <c r="AB61" s="25"/>
      <c r="AC61" s="76">
        <f t="shared" si="4"/>
        <v>18.835705000000001</v>
      </c>
      <c r="AD61" s="76">
        <v>7.6882279999999996</v>
      </c>
      <c r="AE61" s="76">
        <v>11.147477</v>
      </c>
      <c r="AF61" s="76"/>
      <c r="AG61" s="69"/>
      <c r="AH61" s="69">
        <v>2.6</v>
      </c>
      <c r="AI61" s="58"/>
      <c r="AJ61" s="62" t="s">
        <v>910</v>
      </c>
      <c r="AK61" s="151"/>
      <c r="AL61" s="355" t="s">
        <v>1481</v>
      </c>
      <c r="AM61" s="38">
        <v>3000</v>
      </c>
      <c r="AN61" s="41"/>
      <c r="AO61" s="82"/>
      <c r="AP61" s="41"/>
      <c r="AQ61" s="282" t="s">
        <v>914</v>
      </c>
      <c r="AR61" s="282" t="s">
        <v>1192</v>
      </c>
    </row>
    <row r="62" spans="1:44" ht="63.75" customHeight="1" x14ac:dyDescent="0.2">
      <c r="A62" s="21" t="s">
        <v>903</v>
      </c>
      <c r="B62" s="22" t="s">
        <v>916</v>
      </c>
      <c r="C62" s="22"/>
      <c r="D62" s="56" t="s">
        <v>915</v>
      </c>
      <c r="E62" s="134" t="s">
        <v>112</v>
      </c>
      <c r="F62" s="150" t="s">
        <v>113</v>
      </c>
      <c r="G62" s="90" t="s">
        <v>746</v>
      </c>
      <c r="H62" s="90"/>
      <c r="I62" s="255" t="s">
        <v>917</v>
      </c>
      <c r="J62" s="489" t="s">
        <v>918</v>
      </c>
      <c r="K62" s="28" t="s">
        <v>941</v>
      </c>
      <c r="L62" s="22" t="s">
        <v>1435</v>
      </c>
      <c r="M62" s="22" t="s">
        <v>94</v>
      </c>
      <c r="N62" s="22" t="s">
        <v>93</v>
      </c>
      <c r="O62" s="67">
        <v>42005</v>
      </c>
      <c r="P62" s="82">
        <v>3</v>
      </c>
      <c r="Q62" s="27">
        <v>41943</v>
      </c>
      <c r="R62" s="255" t="s">
        <v>288</v>
      </c>
      <c r="S62" s="489" t="s">
        <v>920</v>
      </c>
      <c r="T62" s="223"/>
      <c r="U62" s="296"/>
      <c r="V62" s="91"/>
      <c r="W62" s="250"/>
      <c r="X62" s="139">
        <f t="shared" si="3"/>
        <v>18.460543999999999</v>
      </c>
      <c r="Y62" s="255"/>
      <c r="Z62" s="140"/>
      <c r="AA62" s="74"/>
      <c r="AB62" s="25"/>
      <c r="AC62" s="76">
        <f t="shared" si="4"/>
        <v>18.460543999999999</v>
      </c>
      <c r="AD62" s="76">
        <v>8.7839589999999994</v>
      </c>
      <c r="AE62" s="76">
        <v>9.6765849999999993</v>
      </c>
      <c r="AF62" s="76"/>
      <c r="AG62" s="69"/>
      <c r="AH62" s="69">
        <v>1.26</v>
      </c>
      <c r="AI62" s="58"/>
      <c r="AJ62" s="62"/>
      <c r="AK62" s="24" t="s">
        <v>919</v>
      </c>
      <c r="AL62" s="355" t="s">
        <v>1320</v>
      </c>
      <c r="AM62" s="38">
        <v>1500</v>
      </c>
      <c r="AN62" s="41"/>
      <c r="AO62" s="82"/>
      <c r="AP62" s="41"/>
      <c r="AQ62" s="282"/>
      <c r="AR62" s="282"/>
    </row>
    <row r="63" spans="1:44" ht="54.75" customHeight="1" x14ac:dyDescent="0.2">
      <c r="A63" s="21" t="s">
        <v>904</v>
      </c>
      <c r="B63" s="22" t="s">
        <v>922</v>
      </c>
      <c r="C63" s="22"/>
      <c r="D63" s="56" t="s">
        <v>921</v>
      </c>
      <c r="E63" s="134" t="s">
        <v>112</v>
      </c>
      <c r="F63" s="150" t="s">
        <v>113</v>
      </c>
      <c r="G63" s="90" t="s">
        <v>746</v>
      </c>
      <c r="H63" s="90"/>
      <c r="I63" s="255" t="s">
        <v>923</v>
      </c>
      <c r="J63" s="489" t="s">
        <v>925</v>
      </c>
      <c r="K63" s="28" t="s">
        <v>927</v>
      </c>
      <c r="L63" s="22" t="s">
        <v>1420</v>
      </c>
      <c r="M63" s="22" t="s">
        <v>924</v>
      </c>
      <c r="N63" s="91" t="s">
        <v>1193</v>
      </c>
      <c r="O63" s="67"/>
      <c r="P63" s="82"/>
      <c r="Q63" s="27">
        <v>41943</v>
      </c>
      <c r="R63" s="255" t="s">
        <v>288</v>
      </c>
      <c r="S63" s="489" t="s">
        <v>928</v>
      </c>
      <c r="T63" s="223"/>
      <c r="U63" s="296"/>
      <c r="V63" s="91"/>
      <c r="W63" s="250"/>
      <c r="X63" s="139">
        <f t="shared" si="3"/>
        <v>9.1231000000000009</v>
      </c>
      <c r="Y63" s="255"/>
      <c r="Z63" s="140"/>
      <c r="AA63" s="74"/>
      <c r="AB63" s="25"/>
      <c r="AC63" s="76">
        <f t="shared" si="4"/>
        <v>9.1231000000000009</v>
      </c>
      <c r="AD63" s="76">
        <v>9.1231000000000009</v>
      </c>
      <c r="AE63" s="76"/>
      <c r="AF63" s="76"/>
      <c r="AG63" s="69"/>
      <c r="AH63" s="69"/>
      <c r="AI63" s="58"/>
      <c r="AJ63" s="62" t="s">
        <v>926</v>
      </c>
      <c r="AK63" s="151"/>
      <c r="AL63" s="350" t="s">
        <v>1482</v>
      </c>
      <c r="AM63" s="38"/>
      <c r="AN63" s="41"/>
      <c r="AO63" s="82"/>
      <c r="AP63" s="41"/>
      <c r="AQ63" s="282" t="s">
        <v>929</v>
      </c>
      <c r="AR63" s="282"/>
    </row>
    <row r="64" spans="1:44" ht="63.75" customHeight="1" x14ac:dyDescent="0.2">
      <c r="A64" s="21" t="s">
        <v>905</v>
      </c>
      <c r="B64" s="22" t="s">
        <v>931</v>
      </c>
      <c r="C64" s="22"/>
      <c r="D64" s="56" t="s">
        <v>930</v>
      </c>
      <c r="E64" s="134" t="s">
        <v>112</v>
      </c>
      <c r="F64" s="150" t="s">
        <v>113</v>
      </c>
      <c r="G64" s="90" t="s">
        <v>746</v>
      </c>
      <c r="H64" s="90"/>
      <c r="I64" s="255" t="s">
        <v>938</v>
      </c>
      <c r="J64" s="489" t="s">
        <v>935</v>
      </c>
      <c r="K64" s="28" t="s">
        <v>934</v>
      </c>
      <c r="L64" s="22" t="s">
        <v>932</v>
      </c>
      <c r="M64" s="22" t="s">
        <v>933</v>
      </c>
      <c r="N64" s="91" t="s">
        <v>933</v>
      </c>
      <c r="O64" s="67">
        <v>42005</v>
      </c>
      <c r="P64" s="82">
        <v>3</v>
      </c>
      <c r="Q64" s="27">
        <v>41943</v>
      </c>
      <c r="R64" s="255" t="s">
        <v>288</v>
      </c>
      <c r="S64" s="358"/>
      <c r="T64" s="223"/>
      <c r="U64" s="296"/>
      <c r="V64" s="91"/>
      <c r="W64" s="250"/>
      <c r="X64" s="139">
        <f t="shared" si="3"/>
        <v>16.015523999999999</v>
      </c>
      <c r="Y64" s="255"/>
      <c r="Z64" s="140"/>
      <c r="AA64" s="74"/>
      <c r="AB64" s="25"/>
      <c r="AC64" s="76">
        <f t="shared" si="4"/>
        <v>16.015523999999999</v>
      </c>
      <c r="AD64" s="76">
        <v>16.015523999999999</v>
      </c>
      <c r="AE64" s="76"/>
      <c r="AF64" s="76"/>
      <c r="AG64" s="69"/>
      <c r="AH64" s="69"/>
      <c r="AI64" s="58"/>
      <c r="AJ64" s="62"/>
      <c r="AK64" s="151"/>
      <c r="AL64" s="350" t="s">
        <v>1321</v>
      </c>
      <c r="AM64" s="38"/>
      <c r="AN64" s="41"/>
      <c r="AO64" s="82"/>
      <c r="AP64" s="41"/>
      <c r="AQ64" s="282"/>
      <c r="AR64" s="282"/>
    </row>
    <row r="65" spans="1:44" ht="63.75" customHeight="1" x14ac:dyDescent="0.2">
      <c r="A65" s="21" t="s">
        <v>906</v>
      </c>
      <c r="B65" s="22" t="s">
        <v>937</v>
      </c>
      <c r="C65" s="22"/>
      <c r="D65" s="56" t="s">
        <v>936</v>
      </c>
      <c r="E65" s="134" t="s">
        <v>112</v>
      </c>
      <c r="F65" s="150" t="s">
        <v>113</v>
      </c>
      <c r="G65" s="90" t="s">
        <v>746</v>
      </c>
      <c r="H65" s="90"/>
      <c r="I65" s="255" t="s">
        <v>939</v>
      </c>
      <c r="J65" s="358" t="s">
        <v>940</v>
      </c>
      <c r="K65" s="28" t="s">
        <v>942</v>
      </c>
      <c r="L65" s="22" t="s">
        <v>608</v>
      </c>
      <c r="M65" s="22" t="s">
        <v>607</v>
      </c>
      <c r="N65" s="91" t="s">
        <v>609</v>
      </c>
      <c r="O65" s="67">
        <v>42005</v>
      </c>
      <c r="P65" s="82">
        <v>3</v>
      </c>
      <c r="Q65" s="27">
        <v>41943</v>
      </c>
      <c r="R65" s="255" t="s">
        <v>288</v>
      </c>
      <c r="S65" s="358"/>
      <c r="T65" s="223"/>
      <c r="U65" s="296"/>
      <c r="V65" s="91"/>
      <c r="W65" s="250"/>
      <c r="X65" s="139">
        <f t="shared" si="3"/>
        <v>25.873221000000001</v>
      </c>
      <c r="Y65" s="255"/>
      <c r="Z65" s="140"/>
      <c r="AA65" s="74"/>
      <c r="AB65" s="25"/>
      <c r="AC65" s="76">
        <f t="shared" si="4"/>
        <v>25.873221000000001</v>
      </c>
      <c r="AD65" s="76">
        <v>14.155239</v>
      </c>
      <c r="AE65" s="76">
        <v>11.717981999999999</v>
      </c>
      <c r="AF65" s="76"/>
      <c r="AG65" s="69"/>
      <c r="AH65" s="69">
        <v>3</v>
      </c>
      <c r="AI65" s="58"/>
      <c r="AJ65" s="62"/>
      <c r="AK65" s="151"/>
      <c r="AL65" s="350" t="s">
        <v>1483</v>
      </c>
      <c r="AM65" s="38">
        <v>0.65</v>
      </c>
      <c r="AN65" s="41"/>
      <c r="AO65" s="82"/>
      <c r="AP65" s="41"/>
      <c r="AQ65" s="282"/>
      <c r="AR65" s="282"/>
    </row>
    <row r="66" spans="1:44" ht="63.75" customHeight="1" x14ac:dyDescent="0.2">
      <c r="A66" s="21" t="s">
        <v>907</v>
      </c>
      <c r="B66" s="22" t="s">
        <v>944</v>
      </c>
      <c r="C66" s="22"/>
      <c r="D66" s="56" t="s">
        <v>943</v>
      </c>
      <c r="E66" s="134" t="s">
        <v>112</v>
      </c>
      <c r="F66" s="150" t="s">
        <v>113</v>
      </c>
      <c r="G66" s="90" t="s">
        <v>746</v>
      </c>
      <c r="H66" s="90"/>
      <c r="I66" s="255" t="s">
        <v>946</v>
      </c>
      <c r="J66" s="489" t="s">
        <v>947</v>
      </c>
      <c r="K66" s="28" t="s">
        <v>941</v>
      </c>
      <c r="L66" s="22" t="s">
        <v>1435</v>
      </c>
      <c r="M66" s="22" t="s">
        <v>95</v>
      </c>
      <c r="N66" s="91" t="s">
        <v>945</v>
      </c>
      <c r="O66" s="67">
        <v>42005</v>
      </c>
      <c r="P66" s="82">
        <v>3</v>
      </c>
      <c r="Q66" s="27">
        <v>41943</v>
      </c>
      <c r="R66" s="255" t="s">
        <v>288</v>
      </c>
      <c r="S66" s="489"/>
      <c r="T66" s="223"/>
      <c r="U66" s="296"/>
      <c r="V66" s="91"/>
      <c r="W66" s="250"/>
      <c r="X66" s="139">
        <f t="shared" si="3"/>
        <v>18.460543999999999</v>
      </c>
      <c r="Y66" s="255"/>
      <c r="Z66" s="140"/>
      <c r="AA66" s="74"/>
      <c r="AB66" s="25"/>
      <c r="AC66" s="76">
        <f t="shared" si="4"/>
        <v>18.460543999999999</v>
      </c>
      <c r="AD66" s="76">
        <v>8.7839589999999994</v>
      </c>
      <c r="AE66" s="76">
        <v>9.6765849999999993</v>
      </c>
      <c r="AF66" s="76"/>
      <c r="AG66" s="69"/>
      <c r="AH66" s="69">
        <v>5.2</v>
      </c>
      <c r="AI66" s="58"/>
      <c r="AJ66" s="62"/>
      <c r="AK66" s="151"/>
      <c r="AL66" s="355" t="s">
        <v>1320</v>
      </c>
      <c r="AM66" s="38">
        <v>3200</v>
      </c>
      <c r="AN66" s="41"/>
      <c r="AO66" s="82"/>
      <c r="AP66" s="41"/>
      <c r="AQ66" s="282"/>
      <c r="AR66" s="282"/>
    </row>
    <row r="67" spans="1:44" ht="52.5" customHeight="1" x14ac:dyDescent="0.2">
      <c r="A67" s="21" t="s">
        <v>977</v>
      </c>
      <c r="B67" s="22" t="s">
        <v>1111</v>
      </c>
      <c r="C67" s="22"/>
      <c r="D67" s="56" t="s">
        <v>964</v>
      </c>
      <c r="E67" s="132" t="s">
        <v>112</v>
      </c>
      <c r="F67" s="133" t="s">
        <v>117</v>
      </c>
      <c r="G67" s="134" t="s">
        <v>74</v>
      </c>
      <c r="H67" s="90"/>
      <c r="I67" s="489" t="s">
        <v>1322</v>
      </c>
      <c r="J67" s="489" t="s">
        <v>966</v>
      </c>
      <c r="K67" s="28" t="s">
        <v>965</v>
      </c>
      <c r="L67" s="22" t="s">
        <v>650</v>
      </c>
      <c r="M67" s="22" t="s">
        <v>651</v>
      </c>
      <c r="N67" s="22" t="s">
        <v>651</v>
      </c>
      <c r="O67" s="67">
        <v>42005</v>
      </c>
      <c r="P67" s="82">
        <v>4</v>
      </c>
      <c r="Q67" s="27">
        <v>41957</v>
      </c>
      <c r="R67" s="255" t="s">
        <v>290</v>
      </c>
      <c r="S67" s="489" t="s">
        <v>1323</v>
      </c>
      <c r="T67" s="223"/>
      <c r="U67" s="296"/>
      <c r="V67" s="91"/>
      <c r="W67" s="250"/>
      <c r="X67" s="139">
        <f t="shared" si="3"/>
        <v>15</v>
      </c>
      <c r="Y67" s="255"/>
      <c r="Z67" s="140"/>
      <c r="AA67" s="74"/>
      <c r="AB67" s="25"/>
      <c r="AC67" s="76">
        <f t="shared" si="4"/>
        <v>15</v>
      </c>
      <c r="AD67" s="76">
        <v>15</v>
      </c>
      <c r="AE67" s="76"/>
      <c r="AF67" s="76"/>
      <c r="AG67" s="69"/>
      <c r="AH67" s="69">
        <v>0.42</v>
      </c>
      <c r="AI67" s="58"/>
      <c r="AJ67" s="62"/>
      <c r="AK67" s="151"/>
      <c r="AL67" s="355" t="s">
        <v>1274</v>
      </c>
      <c r="AM67" s="38"/>
      <c r="AN67" s="41"/>
      <c r="AO67" s="82"/>
      <c r="AP67" s="41"/>
      <c r="AQ67" s="282" t="s">
        <v>967</v>
      </c>
      <c r="AR67" s="282"/>
    </row>
    <row r="68" spans="1:44" ht="57" customHeight="1" x14ac:dyDescent="0.2">
      <c r="A68" s="21" t="s">
        <v>978</v>
      </c>
      <c r="B68" s="22" t="s">
        <v>968</v>
      </c>
      <c r="C68" s="22"/>
      <c r="D68" s="56" t="s">
        <v>969</v>
      </c>
      <c r="E68" s="134" t="s">
        <v>112</v>
      </c>
      <c r="F68" s="150" t="s">
        <v>113</v>
      </c>
      <c r="G68" s="90" t="s">
        <v>746</v>
      </c>
      <c r="H68" s="90"/>
      <c r="I68" s="255" t="s">
        <v>971</v>
      </c>
      <c r="J68" s="375" t="s">
        <v>973</v>
      </c>
      <c r="K68" s="28" t="s">
        <v>975</v>
      </c>
      <c r="L68" s="22" t="s">
        <v>608</v>
      </c>
      <c r="M68" s="22" t="s">
        <v>972</v>
      </c>
      <c r="N68" s="22" t="s">
        <v>976</v>
      </c>
      <c r="O68" s="67">
        <v>42005</v>
      </c>
      <c r="P68" s="82">
        <v>3</v>
      </c>
      <c r="Q68" s="27">
        <v>41957</v>
      </c>
      <c r="R68" s="255" t="s">
        <v>288</v>
      </c>
      <c r="S68" s="489"/>
      <c r="T68" s="223"/>
      <c r="U68" s="296"/>
      <c r="V68" s="91"/>
      <c r="W68" s="250"/>
      <c r="X68" s="139">
        <f t="shared" si="3"/>
        <v>25.45</v>
      </c>
      <c r="Y68" s="255"/>
      <c r="Z68" s="140"/>
      <c r="AA68" s="74"/>
      <c r="AB68" s="25"/>
      <c r="AC68" s="76">
        <f t="shared" si="4"/>
        <v>25.45</v>
      </c>
      <c r="AD68" s="76">
        <v>25.45</v>
      </c>
      <c r="AE68" s="76">
        <v>0</v>
      </c>
      <c r="AF68" s="76">
        <v>0</v>
      </c>
      <c r="AG68" s="69"/>
      <c r="AH68" s="69"/>
      <c r="AI68" s="58"/>
      <c r="AJ68" s="62" t="s">
        <v>970</v>
      </c>
      <c r="AK68" s="263" t="s">
        <v>974</v>
      </c>
      <c r="AL68" s="355" t="s">
        <v>1485</v>
      </c>
      <c r="AM68" s="38"/>
      <c r="AN68" s="41"/>
      <c r="AO68" s="82"/>
      <c r="AP68" s="41"/>
      <c r="AQ68" s="282" t="s">
        <v>929</v>
      </c>
      <c r="AR68" s="282"/>
    </row>
    <row r="69" spans="1:44" ht="78.75" customHeight="1" x14ac:dyDescent="0.2">
      <c r="A69" s="21" t="s">
        <v>981</v>
      </c>
      <c r="B69" s="22" t="s">
        <v>982</v>
      </c>
      <c r="C69" s="22"/>
      <c r="D69" s="490" t="s">
        <v>980</v>
      </c>
      <c r="E69" s="24" t="s">
        <v>106</v>
      </c>
      <c r="F69" s="26" t="s">
        <v>108</v>
      </c>
      <c r="G69" s="24" t="s">
        <v>55</v>
      </c>
      <c r="H69" s="90"/>
      <c r="I69" s="255" t="s">
        <v>983</v>
      </c>
      <c r="J69" s="489"/>
      <c r="K69" s="28" t="s">
        <v>327</v>
      </c>
      <c r="L69" s="22" t="s">
        <v>328</v>
      </c>
      <c r="M69" s="22" t="s">
        <v>984</v>
      </c>
      <c r="N69" s="22" t="s">
        <v>984</v>
      </c>
      <c r="O69" s="67">
        <v>41883</v>
      </c>
      <c r="P69" s="82">
        <v>2</v>
      </c>
      <c r="Q69" s="27">
        <v>41970</v>
      </c>
      <c r="R69" s="255" t="s">
        <v>312</v>
      </c>
      <c r="S69" s="489" t="s">
        <v>986</v>
      </c>
      <c r="T69" s="223"/>
      <c r="U69" s="296"/>
      <c r="V69" s="91"/>
      <c r="W69" s="250"/>
      <c r="X69" s="139">
        <f t="shared" si="3"/>
        <v>15</v>
      </c>
      <c r="Y69" s="255"/>
      <c r="Z69" s="140">
        <v>15</v>
      </c>
      <c r="AA69" s="74"/>
      <c r="AB69" s="25"/>
      <c r="AC69" s="76">
        <f t="shared" si="4"/>
        <v>0</v>
      </c>
      <c r="AD69" s="76"/>
      <c r="AE69" s="76"/>
      <c r="AF69" s="76"/>
      <c r="AG69" s="69"/>
      <c r="AH69" s="69">
        <v>0.52</v>
      </c>
      <c r="AI69" s="58"/>
      <c r="AJ69" s="62"/>
      <c r="AK69" s="263"/>
      <c r="AL69" s="355" t="s">
        <v>1478</v>
      </c>
      <c r="AM69" s="38"/>
      <c r="AN69" s="41"/>
      <c r="AO69" s="82"/>
      <c r="AP69" s="41"/>
      <c r="AQ69" s="331" t="s">
        <v>985</v>
      </c>
      <c r="AR69" s="282"/>
    </row>
    <row r="70" spans="1:44" ht="52.5" customHeight="1" x14ac:dyDescent="0.2">
      <c r="A70" s="21" t="s">
        <v>987</v>
      </c>
      <c r="B70" s="22" t="s">
        <v>988</v>
      </c>
      <c r="C70" s="22"/>
      <c r="D70" s="56" t="s">
        <v>2251</v>
      </c>
      <c r="E70" s="88" t="s">
        <v>106</v>
      </c>
      <c r="F70" s="89" t="s">
        <v>107</v>
      </c>
      <c r="G70" s="90" t="s">
        <v>346</v>
      </c>
      <c r="H70" s="90"/>
      <c r="I70" s="255" t="s">
        <v>989</v>
      </c>
      <c r="J70" s="381" t="s">
        <v>990</v>
      </c>
      <c r="K70" s="28" t="s">
        <v>351</v>
      </c>
      <c r="L70" s="22" t="s">
        <v>608</v>
      </c>
      <c r="M70" s="22" t="s">
        <v>972</v>
      </c>
      <c r="N70" s="343" t="s">
        <v>976</v>
      </c>
      <c r="O70" s="67">
        <v>42005</v>
      </c>
      <c r="P70" s="82">
        <v>15</v>
      </c>
      <c r="Q70" s="27">
        <v>41970</v>
      </c>
      <c r="R70" s="255" t="s">
        <v>290</v>
      </c>
      <c r="S70" s="309" t="s">
        <v>993</v>
      </c>
      <c r="T70" s="223"/>
      <c r="U70" s="296"/>
      <c r="V70" s="91"/>
      <c r="W70" s="250"/>
      <c r="X70" s="139">
        <f t="shared" si="3"/>
        <v>80</v>
      </c>
      <c r="Y70" s="255"/>
      <c r="Z70" s="140">
        <f>80-38.8</f>
        <v>41.2</v>
      </c>
      <c r="AA70" s="74"/>
      <c r="AB70" s="25"/>
      <c r="AC70" s="76">
        <f t="shared" si="4"/>
        <v>38.799999999999997</v>
      </c>
      <c r="AD70" s="76">
        <v>38.799999999999997</v>
      </c>
      <c r="AE70" s="76">
        <v>0</v>
      </c>
      <c r="AF70" s="76">
        <v>0</v>
      </c>
      <c r="AG70" s="69"/>
      <c r="AH70" s="69">
        <v>0.36</v>
      </c>
      <c r="AI70" s="58"/>
      <c r="AJ70" s="62" t="s">
        <v>991</v>
      </c>
      <c r="AK70" s="263" t="s">
        <v>992</v>
      </c>
      <c r="AL70" s="355" t="s">
        <v>1462</v>
      </c>
      <c r="AM70" s="38"/>
      <c r="AN70" s="41"/>
      <c r="AO70" s="82"/>
      <c r="AP70" s="41"/>
      <c r="AQ70" s="331" t="s">
        <v>1194</v>
      </c>
      <c r="AR70" s="282"/>
    </row>
    <row r="71" spans="1:44" ht="51.75" customHeight="1" x14ac:dyDescent="0.2">
      <c r="A71" s="21" t="s">
        <v>995</v>
      </c>
      <c r="B71" s="22" t="s">
        <v>1001</v>
      </c>
      <c r="C71" s="22"/>
      <c r="D71" s="56" t="s">
        <v>1008</v>
      </c>
      <c r="E71" s="259" t="s">
        <v>105</v>
      </c>
      <c r="F71" s="260" t="s">
        <v>122</v>
      </c>
      <c r="G71" s="261" t="s">
        <v>175</v>
      </c>
      <c r="H71" s="90" t="s">
        <v>1007</v>
      </c>
      <c r="I71" s="255" t="s">
        <v>1324</v>
      </c>
      <c r="J71" s="381" t="s">
        <v>1010</v>
      </c>
      <c r="K71" s="28" t="s">
        <v>1009</v>
      </c>
      <c r="L71" s="22" t="s">
        <v>608</v>
      </c>
      <c r="M71" s="22" t="s">
        <v>607</v>
      </c>
      <c r="N71" s="22" t="s">
        <v>1011</v>
      </c>
      <c r="O71" s="67">
        <v>42005</v>
      </c>
      <c r="P71" s="82">
        <v>1</v>
      </c>
      <c r="Q71" s="27">
        <v>41974</v>
      </c>
      <c r="R71" s="255" t="s">
        <v>288</v>
      </c>
      <c r="S71" s="309" t="s">
        <v>1325</v>
      </c>
      <c r="T71" s="223"/>
      <c r="U71" s="296"/>
      <c r="V71" s="91"/>
      <c r="W71" s="250"/>
      <c r="X71" s="139">
        <f t="shared" si="3"/>
        <v>0.15000000000000002</v>
      </c>
      <c r="Y71" s="255"/>
      <c r="Z71" s="140"/>
      <c r="AA71" s="74"/>
      <c r="AB71" s="25"/>
      <c r="AC71" s="76">
        <f t="shared" si="4"/>
        <v>0.15000000000000002</v>
      </c>
      <c r="AD71" s="76">
        <v>0.1</v>
      </c>
      <c r="AE71" s="76">
        <v>0.05</v>
      </c>
      <c r="AF71" s="76"/>
      <c r="AG71" s="69"/>
      <c r="AH71" s="69"/>
      <c r="AI71" s="58"/>
      <c r="AJ71" s="62"/>
      <c r="AK71" s="252"/>
      <c r="AL71" s="355" t="s">
        <v>1402</v>
      </c>
      <c r="AM71" s="38"/>
      <c r="AN71" s="41"/>
      <c r="AO71" s="82"/>
      <c r="AP71" s="41"/>
      <c r="AQ71" s="331"/>
      <c r="AR71" s="282"/>
    </row>
    <row r="72" spans="1:44" ht="65.25" customHeight="1" x14ac:dyDescent="0.2">
      <c r="A72" s="21" t="s">
        <v>996</v>
      </c>
      <c r="B72" s="22" t="s">
        <v>1002</v>
      </c>
      <c r="C72" s="22"/>
      <c r="D72" s="56" t="s">
        <v>1012</v>
      </c>
      <c r="E72" s="259" t="s">
        <v>105</v>
      </c>
      <c r="F72" s="260" t="s">
        <v>122</v>
      </c>
      <c r="G72" s="261" t="s">
        <v>175</v>
      </c>
      <c r="H72" s="90"/>
      <c r="I72" s="255" t="s">
        <v>1015</v>
      </c>
      <c r="J72" s="381" t="s">
        <v>1014</v>
      </c>
      <c r="K72" s="28" t="s">
        <v>1009</v>
      </c>
      <c r="L72" s="22" t="s">
        <v>1437</v>
      </c>
      <c r="M72" s="22" t="s">
        <v>1013</v>
      </c>
      <c r="N72" s="22" t="s">
        <v>1013</v>
      </c>
      <c r="O72" s="67">
        <v>42005</v>
      </c>
      <c r="P72" s="82">
        <v>0.5</v>
      </c>
      <c r="Q72" s="27">
        <v>41974</v>
      </c>
      <c r="R72" s="255" t="s">
        <v>288</v>
      </c>
      <c r="S72" s="338" t="s">
        <v>1327</v>
      </c>
      <c r="T72" s="223"/>
      <c r="U72" s="296"/>
      <c r="V72" s="91"/>
      <c r="W72" s="250"/>
      <c r="X72" s="139">
        <f t="shared" si="3"/>
        <v>0.1</v>
      </c>
      <c r="Y72" s="255"/>
      <c r="Z72" s="140"/>
      <c r="AA72" s="74"/>
      <c r="AB72" s="25"/>
      <c r="AC72" s="139">
        <f t="shared" si="4"/>
        <v>0.1</v>
      </c>
      <c r="AD72" s="139">
        <v>0.1</v>
      </c>
      <c r="AE72" s="76"/>
      <c r="AF72" s="76"/>
      <c r="AG72" s="69">
        <f>16.38/10</f>
        <v>1.6379999999999999</v>
      </c>
      <c r="AH72" s="69"/>
      <c r="AI72" s="58"/>
      <c r="AJ72" s="62"/>
      <c r="AK72" s="252"/>
      <c r="AL72" s="355" t="s">
        <v>1486</v>
      </c>
      <c r="AM72" s="38"/>
      <c r="AN72" s="41"/>
      <c r="AO72" s="82"/>
      <c r="AP72" s="41"/>
      <c r="AQ72" s="331" t="s">
        <v>1328</v>
      </c>
      <c r="AR72" s="282"/>
    </row>
    <row r="73" spans="1:44" ht="75.75" customHeight="1" x14ac:dyDescent="0.2">
      <c r="A73" s="21" t="s">
        <v>997</v>
      </c>
      <c r="B73" s="22" t="s">
        <v>1003</v>
      </c>
      <c r="C73" s="22"/>
      <c r="D73" s="56" t="s">
        <v>1016</v>
      </c>
      <c r="E73" s="259" t="s">
        <v>105</v>
      </c>
      <c r="F73" s="260" t="s">
        <v>122</v>
      </c>
      <c r="G73" s="261" t="s">
        <v>175</v>
      </c>
      <c r="H73" s="90" t="s">
        <v>1007</v>
      </c>
      <c r="I73" s="255" t="s">
        <v>1017</v>
      </c>
      <c r="J73" s="381" t="s">
        <v>1018</v>
      </c>
      <c r="K73" s="28" t="s">
        <v>1009</v>
      </c>
      <c r="L73" s="22" t="s">
        <v>328</v>
      </c>
      <c r="M73" s="22" t="s">
        <v>882</v>
      </c>
      <c r="N73" s="22" t="s">
        <v>882</v>
      </c>
      <c r="O73" s="67">
        <v>42005</v>
      </c>
      <c r="P73" s="82">
        <v>1</v>
      </c>
      <c r="Q73" s="27">
        <v>41974</v>
      </c>
      <c r="R73" s="255" t="s">
        <v>288</v>
      </c>
      <c r="S73" s="381"/>
      <c r="T73" s="223"/>
      <c r="U73" s="296"/>
      <c r="V73" s="91"/>
      <c r="W73" s="250"/>
      <c r="X73" s="139">
        <f t="shared" si="3"/>
        <v>0.25</v>
      </c>
      <c r="Y73" s="255"/>
      <c r="Z73" s="140"/>
      <c r="AA73" s="74"/>
      <c r="AB73" s="25"/>
      <c r="AC73" s="139">
        <f t="shared" si="4"/>
        <v>0.25</v>
      </c>
      <c r="AD73" s="139">
        <v>0.25</v>
      </c>
      <c r="AE73" s="76"/>
      <c r="AF73" s="76"/>
      <c r="AG73" s="69"/>
      <c r="AH73" s="69">
        <f>42.5/25*0.25</f>
        <v>0.42499999999999999</v>
      </c>
      <c r="AI73" s="58"/>
      <c r="AJ73" s="62"/>
      <c r="AK73" s="252"/>
      <c r="AL73" s="355" t="s">
        <v>1487</v>
      </c>
      <c r="AM73" s="38"/>
      <c r="AN73" s="41"/>
      <c r="AO73" s="82"/>
      <c r="AP73" s="41"/>
      <c r="AQ73" s="331" t="s">
        <v>1328</v>
      </c>
      <c r="AR73" s="282"/>
    </row>
    <row r="74" spans="1:44" ht="54" customHeight="1" x14ac:dyDescent="0.2">
      <c r="A74" s="21" t="s">
        <v>998</v>
      </c>
      <c r="B74" s="22" t="s">
        <v>1004</v>
      </c>
      <c r="C74" s="22"/>
      <c r="D74" s="56" t="s">
        <v>1019</v>
      </c>
      <c r="E74" s="259" t="s">
        <v>105</v>
      </c>
      <c r="F74" s="260" t="s">
        <v>122</v>
      </c>
      <c r="G74" s="261" t="s">
        <v>175</v>
      </c>
      <c r="H74" s="90"/>
      <c r="I74" s="255" t="s">
        <v>1330</v>
      </c>
      <c r="J74" s="489" t="s">
        <v>1021</v>
      </c>
      <c r="K74" s="28" t="s">
        <v>1009</v>
      </c>
      <c r="L74" s="22" t="s">
        <v>608</v>
      </c>
      <c r="M74" s="22" t="s">
        <v>1331</v>
      </c>
      <c r="N74" s="22" t="s">
        <v>1020</v>
      </c>
      <c r="O74" s="67">
        <v>42005</v>
      </c>
      <c r="P74" s="82">
        <v>0.5</v>
      </c>
      <c r="Q74" s="27">
        <v>41974</v>
      </c>
      <c r="R74" s="255" t="s">
        <v>288</v>
      </c>
      <c r="S74" s="381"/>
      <c r="T74" s="223"/>
      <c r="U74" s="296"/>
      <c r="V74" s="91"/>
      <c r="W74" s="250"/>
      <c r="X74" s="139">
        <f t="shared" si="3"/>
        <v>8.6999999999999994E-2</v>
      </c>
      <c r="Y74" s="255"/>
      <c r="Z74" s="140"/>
      <c r="AA74" s="74"/>
      <c r="AB74" s="25"/>
      <c r="AC74" s="139">
        <f t="shared" si="4"/>
        <v>8.6999999999999994E-2</v>
      </c>
      <c r="AD74" s="139">
        <v>8.6999999999999994E-2</v>
      </c>
      <c r="AE74" s="76"/>
      <c r="AF74" s="76"/>
      <c r="AG74" s="69"/>
      <c r="AH74" s="69"/>
      <c r="AI74" s="58"/>
      <c r="AJ74" s="62"/>
      <c r="AK74" s="252"/>
      <c r="AL74" s="355" t="s">
        <v>1329</v>
      </c>
      <c r="AM74" s="38"/>
      <c r="AN74" s="41"/>
      <c r="AO74" s="82"/>
      <c r="AP74" s="41"/>
      <c r="AQ74" s="331" t="s">
        <v>1328</v>
      </c>
      <c r="AR74" s="282"/>
    </row>
    <row r="75" spans="1:44" ht="52.5" customHeight="1" x14ac:dyDescent="0.2">
      <c r="A75" s="21" t="s">
        <v>999</v>
      </c>
      <c r="B75" s="22" t="s">
        <v>1005</v>
      </c>
      <c r="C75" s="22"/>
      <c r="D75" s="56" t="s">
        <v>1022</v>
      </c>
      <c r="E75" s="259" t="s">
        <v>105</v>
      </c>
      <c r="F75" s="260" t="s">
        <v>122</v>
      </c>
      <c r="G75" s="261" t="s">
        <v>175</v>
      </c>
      <c r="H75" s="90"/>
      <c r="I75" s="255" t="s">
        <v>1332</v>
      </c>
      <c r="J75" s="489" t="s">
        <v>1023</v>
      </c>
      <c r="K75" s="28" t="s">
        <v>1009</v>
      </c>
      <c r="L75" s="22" t="s">
        <v>608</v>
      </c>
      <c r="M75" s="22" t="s">
        <v>1024</v>
      </c>
      <c r="N75" s="91" t="s">
        <v>1333</v>
      </c>
      <c r="O75" s="67">
        <v>42005</v>
      </c>
      <c r="P75" s="82">
        <v>1</v>
      </c>
      <c r="Q75" s="27">
        <v>41974</v>
      </c>
      <c r="R75" s="255" t="s">
        <v>288</v>
      </c>
      <c r="S75" s="489"/>
      <c r="T75" s="223"/>
      <c r="U75" s="296"/>
      <c r="V75" s="91"/>
      <c r="W75" s="250"/>
      <c r="X75" s="139">
        <f t="shared" ref="X75:X106" si="5">Z75+AB75+AC75</f>
        <v>0.25</v>
      </c>
      <c r="Y75" s="255"/>
      <c r="Z75" s="140"/>
      <c r="AA75" s="74"/>
      <c r="AB75" s="25"/>
      <c r="AC75" s="139">
        <f t="shared" ref="AC75:AC103" si="6">SUM(AD75:AF75)</f>
        <v>0.25</v>
      </c>
      <c r="AD75" s="139">
        <v>0.25</v>
      </c>
      <c r="AE75" s="76"/>
      <c r="AF75" s="76"/>
      <c r="AG75" s="69"/>
      <c r="AH75" s="69"/>
      <c r="AI75" s="58"/>
      <c r="AJ75" s="62"/>
      <c r="AK75" s="252"/>
      <c r="AL75" s="352" t="s">
        <v>1334</v>
      </c>
      <c r="AM75" s="38"/>
      <c r="AN75" s="41"/>
      <c r="AO75" s="82"/>
      <c r="AP75" s="41"/>
      <c r="AQ75" s="331" t="s">
        <v>1328</v>
      </c>
      <c r="AR75" s="282"/>
    </row>
    <row r="76" spans="1:44" ht="52.5" customHeight="1" x14ac:dyDescent="0.2">
      <c r="A76" s="21" t="s">
        <v>1000</v>
      </c>
      <c r="B76" s="22" t="s">
        <v>1006</v>
      </c>
      <c r="C76" s="22"/>
      <c r="D76" s="56" t="s">
        <v>1025</v>
      </c>
      <c r="E76" s="259" t="s">
        <v>105</v>
      </c>
      <c r="F76" s="260" t="s">
        <v>122</v>
      </c>
      <c r="G76" s="261" t="s">
        <v>175</v>
      </c>
      <c r="H76" s="90"/>
      <c r="I76" s="255" t="s">
        <v>1027</v>
      </c>
      <c r="J76" s="489" t="s">
        <v>1028</v>
      </c>
      <c r="K76" s="28" t="s">
        <v>1009</v>
      </c>
      <c r="L76" s="22" t="s">
        <v>328</v>
      </c>
      <c r="M76" s="22" t="s">
        <v>1029</v>
      </c>
      <c r="N76" s="91" t="s">
        <v>1030</v>
      </c>
      <c r="O76" s="67">
        <v>42005</v>
      </c>
      <c r="P76" s="82">
        <v>1</v>
      </c>
      <c r="Q76" s="27">
        <v>41974</v>
      </c>
      <c r="R76" s="255" t="s">
        <v>288</v>
      </c>
      <c r="S76" s="489" t="s">
        <v>1026</v>
      </c>
      <c r="T76" s="223"/>
      <c r="U76" s="296"/>
      <c r="V76" s="91"/>
      <c r="W76" s="250"/>
      <c r="X76" s="139">
        <f t="shared" si="5"/>
        <v>0.2</v>
      </c>
      <c r="Y76" s="255"/>
      <c r="Z76" s="140"/>
      <c r="AA76" s="74"/>
      <c r="AB76" s="25"/>
      <c r="AC76" s="139">
        <f t="shared" si="6"/>
        <v>0.2</v>
      </c>
      <c r="AD76" s="139">
        <v>0.2</v>
      </c>
      <c r="AE76" s="76"/>
      <c r="AF76" s="76"/>
      <c r="AG76" s="69"/>
      <c r="AH76" s="69"/>
      <c r="AI76" s="58"/>
      <c r="AJ76" s="62"/>
      <c r="AK76" s="252"/>
      <c r="AL76" s="352" t="s">
        <v>1488</v>
      </c>
      <c r="AM76" s="38"/>
      <c r="AN76" s="41"/>
      <c r="AO76" s="82"/>
      <c r="AP76" s="41"/>
      <c r="AQ76" s="331" t="s">
        <v>1328</v>
      </c>
      <c r="AR76" s="282"/>
    </row>
    <row r="77" spans="1:44" ht="87" customHeight="1" x14ac:dyDescent="0.2">
      <c r="A77" s="200" t="s">
        <v>1031</v>
      </c>
      <c r="B77" s="201" t="s">
        <v>1102</v>
      </c>
      <c r="C77" s="201"/>
      <c r="D77" s="202" t="s">
        <v>1032</v>
      </c>
      <c r="E77" s="225" t="s">
        <v>106</v>
      </c>
      <c r="F77" s="226" t="s">
        <v>121</v>
      </c>
      <c r="G77" s="313" t="s">
        <v>58</v>
      </c>
      <c r="H77" s="217"/>
      <c r="I77" s="270" t="s">
        <v>1037</v>
      </c>
      <c r="J77" s="269" t="s">
        <v>1592</v>
      </c>
      <c r="K77" s="205" t="s">
        <v>1033</v>
      </c>
      <c r="L77" s="201" t="s">
        <v>436</v>
      </c>
      <c r="M77" s="201" t="s">
        <v>1039</v>
      </c>
      <c r="N77" s="218" t="s">
        <v>1038</v>
      </c>
      <c r="O77" s="207">
        <v>42005</v>
      </c>
      <c r="P77" s="208">
        <v>5</v>
      </c>
      <c r="Q77" s="209">
        <v>41981</v>
      </c>
      <c r="R77" s="270" t="s">
        <v>290</v>
      </c>
      <c r="S77" s="269" t="s">
        <v>1326</v>
      </c>
      <c r="T77" s="224" t="s">
        <v>840</v>
      </c>
      <c r="U77" s="297"/>
      <c r="V77" s="218" t="s">
        <v>1639</v>
      </c>
      <c r="W77" s="249">
        <f>7/0.84</f>
        <v>8.3333333333333339</v>
      </c>
      <c r="X77" s="276">
        <f t="shared" si="5"/>
        <v>8.3333333333333339</v>
      </c>
      <c r="Y77" s="270"/>
      <c r="Z77" s="302"/>
      <c r="AA77" s="212"/>
      <c r="AB77" s="213"/>
      <c r="AC77" s="276">
        <f t="shared" si="6"/>
        <v>8.3333333333333339</v>
      </c>
      <c r="AD77" s="276">
        <f>7/0.84</f>
        <v>8.3333333333333339</v>
      </c>
      <c r="AE77" s="275"/>
      <c r="AF77" s="275"/>
      <c r="AG77" s="221"/>
      <c r="AH77" s="221">
        <v>0.12</v>
      </c>
      <c r="AI77" s="214"/>
      <c r="AJ77" s="215" t="s">
        <v>1036</v>
      </c>
      <c r="AK77" s="361" t="s">
        <v>1118</v>
      </c>
      <c r="AL77" s="354" t="s">
        <v>1287</v>
      </c>
      <c r="AM77" s="211"/>
      <c r="AN77" s="216"/>
      <c r="AO77" s="208"/>
      <c r="AP77" s="216"/>
      <c r="AQ77" s="370" t="s">
        <v>1638</v>
      </c>
      <c r="AR77" s="283" t="s">
        <v>1035</v>
      </c>
    </row>
    <row r="78" spans="1:44" ht="53.25" customHeight="1" x14ac:dyDescent="0.2">
      <c r="A78" s="21" t="s">
        <v>1040</v>
      </c>
      <c r="B78" s="22" t="s">
        <v>1113</v>
      </c>
      <c r="C78" s="22"/>
      <c r="D78" s="56" t="s">
        <v>1114</v>
      </c>
      <c r="E78" s="132" t="s">
        <v>106</v>
      </c>
      <c r="F78" s="133" t="s">
        <v>121</v>
      </c>
      <c r="G78" s="134" t="s">
        <v>58</v>
      </c>
      <c r="H78" s="90"/>
      <c r="I78" s="255" t="s">
        <v>1116</v>
      </c>
      <c r="J78" s="481" t="s">
        <v>1505</v>
      </c>
      <c r="K78" s="28" t="s">
        <v>1504</v>
      </c>
      <c r="L78" s="22" t="s">
        <v>436</v>
      </c>
      <c r="M78" s="22" t="s">
        <v>1117</v>
      </c>
      <c r="N78" s="91" t="s">
        <v>1038</v>
      </c>
      <c r="O78" s="67">
        <v>42005</v>
      </c>
      <c r="P78" s="82">
        <v>15</v>
      </c>
      <c r="Q78" s="27">
        <v>41985</v>
      </c>
      <c r="R78" s="255" t="s">
        <v>290</v>
      </c>
      <c r="S78" s="337" t="s">
        <v>1195</v>
      </c>
      <c r="T78" s="223"/>
      <c r="U78" s="296"/>
      <c r="V78" s="91"/>
      <c r="W78" s="250"/>
      <c r="X78" s="139">
        <f t="shared" si="5"/>
        <v>0</v>
      </c>
      <c r="Y78" s="255"/>
      <c r="Z78" s="140"/>
      <c r="AA78" s="74"/>
      <c r="AB78" s="25"/>
      <c r="AC78" s="139">
        <f t="shared" si="6"/>
        <v>0</v>
      </c>
      <c r="AD78" s="139"/>
      <c r="AE78" s="76"/>
      <c r="AF78" s="76"/>
      <c r="AG78" s="69"/>
      <c r="AH78" s="69">
        <f>6/15</f>
        <v>0.4</v>
      </c>
      <c r="AI78" s="58"/>
      <c r="AJ78" s="62"/>
      <c r="AK78" s="252" t="s">
        <v>1196</v>
      </c>
      <c r="AL78" s="352" t="s">
        <v>1472</v>
      </c>
      <c r="AM78" s="38"/>
      <c r="AN78" s="41"/>
      <c r="AO78" s="82"/>
      <c r="AP78" s="41"/>
      <c r="AQ78" s="331" t="s">
        <v>1328</v>
      </c>
      <c r="AR78" s="282"/>
    </row>
    <row r="79" spans="1:44" ht="52.5" customHeight="1" x14ac:dyDescent="0.2">
      <c r="A79" s="21" t="s">
        <v>1041</v>
      </c>
      <c r="B79" s="22" t="s">
        <v>1052</v>
      </c>
      <c r="C79" s="22"/>
      <c r="D79" s="56" t="s">
        <v>1051</v>
      </c>
      <c r="E79" s="88" t="s">
        <v>106</v>
      </c>
      <c r="F79" s="89" t="s">
        <v>124</v>
      </c>
      <c r="G79" s="90" t="s">
        <v>73</v>
      </c>
      <c r="H79" s="90"/>
      <c r="I79" s="255" t="s">
        <v>1120</v>
      </c>
      <c r="J79" s="489" t="s">
        <v>1127</v>
      </c>
      <c r="K79" s="28" t="s">
        <v>1119</v>
      </c>
      <c r="L79" s="22" t="s">
        <v>1442</v>
      </c>
      <c r="M79" s="22" t="s">
        <v>565</v>
      </c>
      <c r="N79" s="91" t="s">
        <v>1121</v>
      </c>
      <c r="O79" s="67">
        <v>42005</v>
      </c>
      <c r="P79" s="82">
        <v>0.5</v>
      </c>
      <c r="Q79" s="27">
        <v>41985</v>
      </c>
      <c r="R79" s="255" t="s">
        <v>288</v>
      </c>
      <c r="S79" s="489" t="s">
        <v>1335</v>
      </c>
      <c r="T79" s="223"/>
      <c r="U79" s="296"/>
      <c r="V79" s="91"/>
      <c r="W79" s="250"/>
      <c r="X79" s="139">
        <f t="shared" si="5"/>
        <v>0.6</v>
      </c>
      <c r="Y79" s="255"/>
      <c r="Z79" s="140"/>
      <c r="AA79" s="74"/>
      <c r="AB79" s="25"/>
      <c r="AC79" s="139">
        <f t="shared" si="6"/>
        <v>0.6</v>
      </c>
      <c r="AD79" s="139">
        <v>0.6</v>
      </c>
      <c r="AE79" s="76"/>
      <c r="AF79" s="76"/>
      <c r="AG79" s="69"/>
      <c r="AH79" s="69">
        <v>1</v>
      </c>
      <c r="AI79" s="58"/>
      <c r="AJ79" s="62"/>
      <c r="AK79" s="62" t="s">
        <v>1336</v>
      </c>
      <c r="AL79" s="352" t="s">
        <v>1478</v>
      </c>
      <c r="AM79" s="38"/>
      <c r="AN79" s="41"/>
      <c r="AO79" s="82"/>
      <c r="AP79" s="41"/>
      <c r="AQ79" s="331"/>
      <c r="AR79" s="282"/>
    </row>
    <row r="80" spans="1:44" ht="52.5" customHeight="1" x14ac:dyDescent="0.2">
      <c r="A80" s="21" t="s">
        <v>1042</v>
      </c>
      <c r="B80" s="22" t="s">
        <v>1050</v>
      </c>
      <c r="C80" s="22"/>
      <c r="D80" s="56" t="s">
        <v>1049</v>
      </c>
      <c r="E80" s="88" t="s">
        <v>106</v>
      </c>
      <c r="F80" s="89" t="s">
        <v>124</v>
      </c>
      <c r="G80" s="90" t="s">
        <v>73</v>
      </c>
      <c r="H80" s="90"/>
      <c r="I80" s="255" t="s">
        <v>1122</v>
      </c>
      <c r="J80" s="489" t="s">
        <v>1127</v>
      </c>
      <c r="K80" s="28" t="s">
        <v>1119</v>
      </c>
      <c r="L80" s="22" t="s">
        <v>1435</v>
      </c>
      <c r="M80" s="22" t="s">
        <v>94</v>
      </c>
      <c r="N80" s="91" t="s">
        <v>1124</v>
      </c>
      <c r="O80" s="67">
        <v>42005</v>
      </c>
      <c r="P80" s="82">
        <v>0.5</v>
      </c>
      <c r="Q80" s="27">
        <v>41985</v>
      </c>
      <c r="R80" s="255" t="s">
        <v>288</v>
      </c>
      <c r="S80" s="309"/>
      <c r="T80" s="223"/>
      <c r="U80" s="296"/>
      <c r="V80" s="91"/>
      <c r="W80" s="250"/>
      <c r="X80" s="139">
        <f t="shared" si="5"/>
        <v>0.5</v>
      </c>
      <c r="Y80" s="255"/>
      <c r="Z80" s="140"/>
      <c r="AA80" s="74"/>
      <c r="AB80" s="25"/>
      <c r="AC80" s="139">
        <f t="shared" si="6"/>
        <v>0.5</v>
      </c>
      <c r="AD80" s="139">
        <v>0.5</v>
      </c>
      <c r="AE80" s="76"/>
      <c r="AF80" s="76"/>
      <c r="AG80" s="69"/>
      <c r="AH80" s="69">
        <v>1.66</v>
      </c>
      <c r="AI80" s="58"/>
      <c r="AJ80" s="62"/>
      <c r="AK80" s="252" t="s">
        <v>1337</v>
      </c>
      <c r="AL80" s="352" t="s">
        <v>1489</v>
      </c>
      <c r="AM80" s="38"/>
      <c r="AN80" s="41"/>
      <c r="AO80" s="82"/>
      <c r="AP80" s="41"/>
      <c r="AQ80" s="331"/>
      <c r="AR80" s="282"/>
    </row>
    <row r="81" spans="1:44" ht="66" customHeight="1" x14ac:dyDescent="0.2">
      <c r="A81" s="21" t="s">
        <v>1043</v>
      </c>
      <c r="B81" s="22" t="s">
        <v>1048</v>
      </c>
      <c r="C81" s="22"/>
      <c r="D81" s="56" t="s">
        <v>1047</v>
      </c>
      <c r="E81" s="88" t="s">
        <v>106</v>
      </c>
      <c r="F81" s="89" t="s">
        <v>124</v>
      </c>
      <c r="G81" s="90" t="s">
        <v>73</v>
      </c>
      <c r="H81" s="90"/>
      <c r="I81" s="255" t="s">
        <v>1125</v>
      </c>
      <c r="J81" s="489" t="s">
        <v>1127</v>
      </c>
      <c r="K81" s="28" t="s">
        <v>1119</v>
      </c>
      <c r="L81" s="22" t="s">
        <v>1435</v>
      </c>
      <c r="M81" s="22" t="s">
        <v>415</v>
      </c>
      <c r="N81" s="91" t="s">
        <v>727</v>
      </c>
      <c r="O81" s="67">
        <v>42005</v>
      </c>
      <c r="P81" s="82">
        <v>0.5</v>
      </c>
      <c r="Q81" s="27">
        <v>41985</v>
      </c>
      <c r="R81" s="255" t="s">
        <v>288</v>
      </c>
      <c r="S81" s="489" t="s">
        <v>1126</v>
      </c>
      <c r="T81" s="223"/>
      <c r="U81" s="296"/>
      <c r="V81" s="91"/>
      <c r="W81" s="250"/>
      <c r="X81" s="139">
        <f t="shared" si="5"/>
        <v>0.75</v>
      </c>
      <c r="Y81" s="255"/>
      <c r="Z81" s="140"/>
      <c r="AA81" s="74"/>
      <c r="AB81" s="25"/>
      <c r="AC81" s="139">
        <f t="shared" si="6"/>
        <v>0.75</v>
      </c>
      <c r="AD81" s="139">
        <v>0.75</v>
      </c>
      <c r="AE81" s="76"/>
      <c r="AF81" s="76"/>
      <c r="AG81" s="69"/>
      <c r="AH81" s="69">
        <v>10.08</v>
      </c>
      <c r="AI81" s="58"/>
      <c r="AJ81" s="62"/>
      <c r="AK81" s="252"/>
      <c r="AL81" s="352" t="s">
        <v>1339</v>
      </c>
      <c r="AM81" s="38"/>
      <c r="AN81" s="41"/>
      <c r="AO81" s="82"/>
      <c r="AP81" s="41"/>
      <c r="AQ81" s="331"/>
      <c r="AR81" s="282"/>
    </row>
    <row r="82" spans="1:44" ht="52.5" customHeight="1" x14ac:dyDescent="0.2">
      <c r="A82" s="21" t="s">
        <v>1044</v>
      </c>
      <c r="B82" s="22" t="s">
        <v>1057</v>
      </c>
      <c r="C82" s="22"/>
      <c r="D82" s="56" t="s">
        <v>1061</v>
      </c>
      <c r="E82" s="88" t="s">
        <v>106</v>
      </c>
      <c r="F82" s="89" t="s">
        <v>124</v>
      </c>
      <c r="G82" s="90" t="s">
        <v>73</v>
      </c>
      <c r="H82" s="90"/>
      <c r="I82" s="255" t="s">
        <v>1338</v>
      </c>
      <c r="J82" s="489" t="s">
        <v>1130</v>
      </c>
      <c r="K82" s="28" t="s">
        <v>1119</v>
      </c>
      <c r="L82" s="22" t="s">
        <v>328</v>
      </c>
      <c r="M82" s="22" t="s">
        <v>567</v>
      </c>
      <c r="N82" s="91" t="s">
        <v>1029</v>
      </c>
      <c r="O82" s="67">
        <v>42005</v>
      </c>
      <c r="P82" s="82">
        <v>1.5</v>
      </c>
      <c r="Q82" s="27">
        <v>41985</v>
      </c>
      <c r="R82" s="255" t="s">
        <v>288</v>
      </c>
      <c r="S82" s="489" t="s">
        <v>1128</v>
      </c>
      <c r="T82" s="223"/>
      <c r="U82" s="296"/>
      <c r="V82" s="91"/>
      <c r="W82" s="250"/>
      <c r="X82" s="139">
        <f t="shared" si="5"/>
        <v>0.75</v>
      </c>
      <c r="Y82" s="255"/>
      <c r="Z82" s="140"/>
      <c r="AA82" s="74"/>
      <c r="AB82" s="25"/>
      <c r="AC82" s="139">
        <f t="shared" si="6"/>
        <v>0.75</v>
      </c>
      <c r="AD82" s="139">
        <v>0.75</v>
      </c>
      <c r="AE82" s="76"/>
      <c r="AF82" s="76"/>
      <c r="AG82" s="69"/>
      <c r="AH82" s="69">
        <v>2.63</v>
      </c>
      <c r="AI82" s="58"/>
      <c r="AJ82" s="62"/>
      <c r="AK82" s="252" t="s">
        <v>1129</v>
      </c>
      <c r="AL82" s="352" t="s">
        <v>1490</v>
      </c>
      <c r="AM82" s="38"/>
      <c r="AN82" s="41"/>
      <c r="AO82" s="82"/>
      <c r="AP82" s="41"/>
      <c r="AQ82" s="331"/>
      <c r="AR82" s="282"/>
    </row>
    <row r="83" spans="1:44" ht="52.5" customHeight="1" x14ac:dyDescent="0.2">
      <c r="A83" s="21" t="s">
        <v>1045</v>
      </c>
      <c r="B83" s="22" t="s">
        <v>1058</v>
      </c>
      <c r="C83" s="22"/>
      <c r="D83" s="56" t="s">
        <v>1062</v>
      </c>
      <c r="E83" s="88" t="s">
        <v>106</v>
      </c>
      <c r="F83" s="89" t="s">
        <v>124</v>
      </c>
      <c r="G83" s="90" t="s">
        <v>73</v>
      </c>
      <c r="H83" s="90"/>
      <c r="I83" s="255" t="s">
        <v>1131</v>
      </c>
      <c r="J83" s="489" t="s">
        <v>1133</v>
      </c>
      <c r="K83" s="28" t="s">
        <v>1119</v>
      </c>
      <c r="L83" s="22" t="s">
        <v>608</v>
      </c>
      <c r="M83" s="22" t="s">
        <v>1134</v>
      </c>
      <c r="N83" s="91" t="s">
        <v>1135</v>
      </c>
      <c r="O83" s="67">
        <v>42005</v>
      </c>
      <c r="P83" s="82">
        <v>1</v>
      </c>
      <c r="Q83" s="27">
        <v>41985</v>
      </c>
      <c r="R83" s="255" t="s">
        <v>288</v>
      </c>
      <c r="S83" s="266" t="s">
        <v>1128</v>
      </c>
      <c r="T83" s="223"/>
      <c r="U83" s="296"/>
      <c r="V83" s="91"/>
      <c r="W83" s="250"/>
      <c r="X83" s="139">
        <f t="shared" si="5"/>
        <v>0.75</v>
      </c>
      <c r="Y83" s="255"/>
      <c r="Z83" s="140"/>
      <c r="AA83" s="74"/>
      <c r="AB83" s="25"/>
      <c r="AC83" s="139">
        <f t="shared" si="6"/>
        <v>0.75</v>
      </c>
      <c r="AD83" s="139">
        <v>0.75</v>
      </c>
      <c r="AE83" s="76"/>
      <c r="AF83" s="76"/>
      <c r="AG83" s="69"/>
      <c r="AH83" s="69">
        <v>10.25</v>
      </c>
      <c r="AI83" s="58"/>
      <c r="AJ83" s="62"/>
      <c r="AK83" s="252" t="s">
        <v>1132</v>
      </c>
      <c r="AL83" s="352" t="s">
        <v>1491</v>
      </c>
      <c r="AM83" s="38"/>
      <c r="AN83" s="41"/>
      <c r="AO83" s="82"/>
      <c r="AP83" s="41"/>
      <c r="AQ83" s="331"/>
      <c r="AR83" s="282"/>
    </row>
    <row r="84" spans="1:44" ht="52.5" customHeight="1" x14ac:dyDescent="0.2">
      <c r="A84" s="21" t="s">
        <v>1046</v>
      </c>
      <c r="B84" s="22" t="s">
        <v>1059</v>
      </c>
      <c r="C84" s="22"/>
      <c r="D84" s="56" t="s">
        <v>1063</v>
      </c>
      <c r="E84" s="88" t="s">
        <v>106</v>
      </c>
      <c r="F84" s="89" t="s">
        <v>124</v>
      </c>
      <c r="G84" s="90" t="s">
        <v>73</v>
      </c>
      <c r="H84" s="90"/>
      <c r="I84" s="255" t="s">
        <v>1137</v>
      </c>
      <c r="J84" s="489" t="s">
        <v>1127</v>
      </c>
      <c r="K84" s="28" t="s">
        <v>1119</v>
      </c>
      <c r="L84" s="22" t="s">
        <v>629</v>
      </c>
      <c r="M84" s="22" t="s">
        <v>1136</v>
      </c>
      <c r="N84" s="91" t="s">
        <v>1136</v>
      </c>
      <c r="O84" s="67">
        <v>42005</v>
      </c>
      <c r="P84" s="82">
        <v>1</v>
      </c>
      <c r="Q84" s="27">
        <v>41985</v>
      </c>
      <c r="R84" s="255" t="s">
        <v>288</v>
      </c>
      <c r="S84" s="266" t="s">
        <v>1128</v>
      </c>
      <c r="T84" s="223"/>
      <c r="U84" s="296"/>
      <c r="V84" s="91"/>
      <c r="W84" s="250"/>
      <c r="X84" s="139">
        <f t="shared" si="5"/>
        <v>0.75</v>
      </c>
      <c r="Y84" s="255"/>
      <c r="Z84" s="140"/>
      <c r="AA84" s="74"/>
      <c r="AB84" s="25"/>
      <c r="AC84" s="139">
        <f t="shared" si="6"/>
        <v>0.75</v>
      </c>
      <c r="AD84" s="139">
        <v>0.75</v>
      </c>
      <c r="AE84" s="76"/>
      <c r="AF84" s="76"/>
      <c r="AG84" s="69"/>
      <c r="AH84" s="69">
        <v>5.0599999999999996</v>
      </c>
      <c r="AI84" s="58"/>
      <c r="AJ84" s="62"/>
      <c r="AK84" s="252"/>
      <c r="AL84" s="352" t="s">
        <v>1492</v>
      </c>
      <c r="AM84" s="38"/>
      <c r="AN84" s="41"/>
      <c r="AO84" s="82"/>
      <c r="AP84" s="41"/>
      <c r="AQ84" s="331"/>
      <c r="AR84" s="282"/>
    </row>
    <row r="85" spans="1:44" ht="42" customHeight="1" x14ac:dyDescent="0.2">
      <c r="A85" s="21" t="s">
        <v>1060</v>
      </c>
      <c r="B85" s="22" t="s">
        <v>1055</v>
      </c>
      <c r="C85" s="22"/>
      <c r="D85" s="56" t="s">
        <v>1056</v>
      </c>
      <c r="E85" s="88" t="s">
        <v>106</v>
      </c>
      <c r="F85" s="89" t="s">
        <v>124</v>
      </c>
      <c r="G85" s="90" t="s">
        <v>73</v>
      </c>
      <c r="H85" s="90"/>
      <c r="I85" s="255" t="s">
        <v>1138</v>
      </c>
      <c r="J85" s="489" t="s">
        <v>1127</v>
      </c>
      <c r="K85" s="28" t="s">
        <v>1119</v>
      </c>
      <c r="L85" s="22" t="s">
        <v>1435</v>
      </c>
      <c r="M85" s="91" t="s">
        <v>1136</v>
      </c>
      <c r="N85" s="91" t="s">
        <v>1136</v>
      </c>
      <c r="O85" s="67">
        <v>42005</v>
      </c>
      <c r="P85" s="82">
        <v>1</v>
      </c>
      <c r="Q85" s="27">
        <v>41985</v>
      </c>
      <c r="R85" s="255" t="s">
        <v>288</v>
      </c>
      <c r="S85" s="338" t="s">
        <v>1128</v>
      </c>
      <c r="T85" s="223"/>
      <c r="U85" s="296"/>
      <c r="V85" s="91"/>
      <c r="W85" s="250"/>
      <c r="X85" s="139">
        <f t="shared" si="5"/>
        <v>0.75</v>
      </c>
      <c r="Y85" s="255"/>
      <c r="Z85" s="140"/>
      <c r="AA85" s="74"/>
      <c r="AB85" s="25"/>
      <c r="AC85" s="139">
        <f t="shared" si="6"/>
        <v>0.75</v>
      </c>
      <c r="AD85" s="139">
        <v>0.75</v>
      </c>
      <c r="AE85" s="76"/>
      <c r="AF85" s="76"/>
      <c r="AG85" s="69"/>
      <c r="AH85" s="69">
        <v>11.43</v>
      </c>
      <c r="AI85" s="58"/>
      <c r="AJ85" s="62"/>
      <c r="AK85" s="252"/>
      <c r="AL85" s="352" t="s">
        <v>1492</v>
      </c>
      <c r="AM85" s="38"/>
      <c r="AN85" s="41"/>
      <c r="AO85" s="82"/>
      <c r="AP85" s="41"/>
      <c r="AQ85" s="331"/>
      <c r="AR85" s="282"/>
    </row>
    <row r="86" spans="1:44" ht="52.5" customHeight="1" x14ac:dyDescent="0.2">
      <c r="A86" s="21" t="s">
        <v>1115</v>
      </c>
      <c r="B86" s="22" t="s">
        <v>1053</v>
      </c>
      <c r="C86" s="22"/>
      <c r="D86" s="56" t="s">
        <v>1054</v>
      </c>
      <c r="E86" s="88" t="s">
        <v>106</v>
      </c>
      <c r="F86" s="89" t="s">
        <v>124</v>
      </c>
      <c r="G86" s="90" t="s">
        <v>73</v>
      </c>
      <c r="H86" s="90"/>
      <c r="I86" s="255" t="s">
        <v>1139</v>
      </c>
      <c r="J86" s="489" t="s">
        <v>1127</v>
      </c>
      <c r="K86" s="28" t="s">
        <v>1119</v>
      </c>
      <c r="L86" s="22" t="s">
        <v>1435</v>
      </c>
      <c r="M86" s="22" t="s">
        <v>1140</v>
      </c>
      <c r="N86" s="22" t="s">
        <v>1140</v>
      </c>
      <c r="O86" s="67">
        <v>42005</v>
      </c>
      <c r="P86" s="82">
        <v>1</v>
      </c>
      <c r="Q86" s="27">
        <v>41985</v>
      </c>
      <c r="R86" s="255" t="s">
        <v>288</v>
      </c>
      <c r="S86" s="338" t="s">
        <v>1128</v>
      </c>
      <c r="T86" s="223"/>
      <c r="U86" s="296"/>
      <c r="V86" s="91"/>
      <c r="W86" s="250"/>
      <c r="X86" s="139">
        <f t="shared" si="5"/>
        <v>0.6</v>
      </c>
      <c r="Y86" s="255"/>
      <c r="Z86" s="140"/>
      <c r="AA86" s="74"/>
      <c r="AB86" s="25"/>
      <c r="AC86" s="139">
        <f t="shared" si="6"/>
        <v>0.6</v>
      </c>
      <c r="AD86" s="139">
        <v>0.6</v>
      </c>
      <c r="AE86" s="76"/>
      <c r="AF86" s="76"/>
      <c r="AG86" s="69"/>
      <c r="AH86" s="69">
        <v>15</v>
      </c>
      <c r="AI86" s="58"/>
      <c r="AJ86" s="62"/>
      <c r="AK86" s="252"/>
      <c r="AL86" s="352" t="s">
        <v>1477</v>
      </c>
      <c r="AM86" s="38"/>
      <c r="AN86" s="41"/>
      <c r="AO86" s="82"/>
      <c r="AP86" s="41"/>
      <c r="AQ86" s="331"/>
      <c r="AR86" s="282"/>
    </row>
    <row r="87" spans="1:44" ht="65.25" customHeight="1" x14ac:dyDescent="0.2">
      <c r="A87" s="21" t="s">
        <v>1141</v>
      </c>
      <c r="B87" s="22" t="s">
        <v>805</v>
      </c>
      <c r="C87" s="22" t="s">
        <v>803</v>
      </c>
      <c r="D87" s="56" t="s">
        <v>807</v>
      </c>
      <c r="E87" s="88" t="s">
        <v>106</v>
      </c>
      <c r="F87" s="89" t="s">
        <v>124</v>
      </c>
      <c r="G87" s="90" t="s">
        <v>73</v>
      </c>
      <c r="H87" s="90"/>
      <c r="I87" s="255" t="s">
        <v>1144</v>
      </c>
      <c r="J87" s="375" t="s">
        <v>2073</v>
      </c>
      <c r="K87" s="28" t="s">
        <v>1142</v>
      </c>
      <c r="L87" s="22" t="s">
        <v>1442</v>
      </c>
      <c r="M87" s="22" t="s">
        <v>760</v>
      </c>
      <c r="N87" s="91" t="s">
        <v>1145</v>
      </c>
      <c r="O87" s="67">
        <v>42005</v>
      </c>
      <c r="P87" s="82">
        <v>1</v>
      </c>
      <c r="Q87" s="27">
        <v>41988</v>
      </c>
      <c r="R87" s="255" t="s">
        <v>290</v>
      </c>
      <c r="S87" s="338" t="s">
        <v>2074</v>
      </c>
      <c r="T87" s="223"/>
      <c r="U87" s="296"/>
      <c r="V87" s="91"/>
      <c r="W87" s="250"/>
      <c r="X87" s="139">
        <f t="shared" si="5"/>
        <v>2.5057999999999998</v>
      </c>
      <c r="Y87" s="312"/>
      <c r="Z87" s="140">
        <f>2.5058-AC87</f>
        <v>1.5034799999999997</v>
      </c>
      <c r="AA87" s="74"/>
      <c r="AB87" s="25"/>
      <c r="AC87" s="139">
        <f t="shared" si="6"/>
        <v>1.0023200000000001</v>
      </c>
      <c r="AD87" s="139">
        <v>0.75173999999999996</v>
      </c>
      <c r="AE87" s="76">
        <v>0.12529000000000001</v>
      </c>
      <c r="AF87" s="76">
        <v>0.12529000000000001</v>
      </c>
      <c r="AG87" s="69"/>
      <c r="AH87" s="69">
        <v>0.5</v>
      </c>
      <c r="AI87" s="58"/>
      <c r="AJ87" s="62" t="s">
        <v>1143</v>
      </c>
      <c r="AK87" s="252" t="s">
        <v>1202</v>
      </c>
      <c r="AL87" s="356" t="s">
        <v>1397</v>
      </c>
      <c r="AM87" s="38"/>
      <c r="AN87" s="41"/>
      <c r="AO87" s="82"/>
      <c r="AP87" s="41"/>
      <c r="AQ87" s="331"/>
      <c r="AR87" s="282"/>
    </row>
    <row r="88" spans="1:44" ht="67.5" customHeight="1" x14ac:dyDescent="0.2">
      <c r="A88" s="21" t="s">
        <v>1146</v>
      </c>
      <c r="B88" s="22" t="s">
        <v>1149</v>
      </c>
      <c r="C88" s="22"/>
      <c r="D88" s="56" t="s">
        <v>1148</v>
      </c>
      <c r="E88" s="88" t="s">
        <v>106</v>
      </c>
      <c r="F88" s="89" t="s">
        <v>124</v>
      </c>
      <c r="G88" s="90" t="s">
        <v>73</v>
      </c>
      <c r="H88" s="90"/>
      <c r="I88" s="255" t="s">
        <v>1340</v>
      </c>
      <c r="J88" s="255" t="s">
        <v>1154</v>
      </c>
      <c r="K88" s="267" t="s">
        <v>1153</v>
      </c>
      <c r="L88" s="22" t="s">
        <v>1437</v>
      </c>
      <c r="M88" s="22" t="s">
        <v>760</v>
      </c>
      <c r="N88" s="91" t="s">
        <v>561</v>
      </c>
      <c r="O88" s="67">
        <v>42005</v>
      </c>
      <c r="P88" s="82">
        <v>5</v>
      </c>
      <c r="Q88" s="27">
        <v>41991</v>
      </c>
      <c r="R88" s="255" t="s">
        <v>290</v>
      </c>
      <c r="S88" s="338" t="s">
        <v>1197</v>
      </c>
      <c r="T88" s="223"/>
      <c r="U88" s="296"/>
      <c r="V88" s="91"/>
      <c r="W88" s="250"/>
      <c r="X88" s="139">
        <f t="shared" si="5"/>
        <v>14</v>
      </c>
      <c r="Y88" s="255"/>
      <c r="Z88" s="140"/>
      <c r="AA88" s="74"/>
      <c r="AB88" s="25"/>
      <c r="AC88" s="139">
        <f t="shared" si="6"/>
        <v>14</v>
      </c>
      <c r="AD88" s="139">
        <v>14</v>
      </c>
      <c r="AE88" s="76"/>
      <c r="AF88" s="76"/>
      <c r="AG88" s="69"/>
      <c r="AH88" s="80">
        <v>4.4999999999999998E-2</v>
      </c>
      <c r="AI88" s="58"/>
      <c r="AJ88" s="62" t="s">
        <v>1152</v>
      </c>
      <c r="AK88" s="252" t="s">
        <v>1155</v>
      </c>
      <c r="AL88" s="352" t="s">
        <v>1494</v>
      </c>
      <c r="AM88" s="38"/>
      <c r="AN88" s="41"/>
      <c r="AO88" s="82"/>
      <c r="AP88" s="41"/>
      <c r="AQ88" s="331"/>
      <c r="AR88" s="282"/>
    </row>
    <row r="89" spans="1:44" ht="65.25" customHeight="1" x14ac:dyDescent="0.2">
      <c r="A89" s="21" t="s">
        <v>1147</v>
      </c>
      <c r="B89" s="22" t="s">
        <v>1151</v>
      </c>
      <c r="C89" s="22"/>
      <c r="D89" s="56" t="s">
        <v>1150</v>
      </c>
      <c r="E89" s="24" t="s">
        <v>105</v>
      </c>
      <c r="F89" s="26" t="s">
        <v>122</v>
      </c>
      <c r="G89" s="24" t="s">
        <v>59</v>
      </c>
      <c r="H89" s="90" t="s">
        <v>1164</v>
      </c>
      <c r="I89" s="255" t="s">
        <v>1342</v>
      </c>
      <c r="J89" s="255" t="s">
        <v>1198</v>
      </c>
      <c r="K89" s="267" t="s">
        <v>1199</v>
      </c>
      <c r="L89" s="22" t="s">
        <v>328</v>
      </c>
      <c r="M89" s="22" t="s">
        <v>1165</v>
      </c>
      <c r="N89" s="91" t="s">
        <v>1163</v>
      </c>
      <c r="O89" s="67">
        <v>42005</v>
      </c>
      <c r="P89" s="82">
        <v>1.5</v>
      </c>
      <c r="Q89" s="27">
        <v>41991</v>
      </c>
      <c r="R89" s="255" t="s">
        <v>288</v>
      </c>
      <c r="S89" s="381" t="s">
        <v>1341</v>
      </c>
      <c r="T89" s="223"/>
      <c r="U89" s="296"/>
      <c r="V89" s="91"/>
      <c r="W89" s="250"/>
      <c r="X89" s="139">
        <f t="shared" si="5"/>
        <v>8.9</v>
      </c>
      <c r="Y89" s="255" t="s">
        <v>1200</v>
      </c>
      <c r="Z89" s="140">
        <v>1.2</v>
      </c>
      <c r="AA89" s="74"/>
      <c r="AB89" s="25"/>
      <c r="AC89" s="139">
        <f t="shared" si="6"/>
        <v>7.7</v>
      </c>
      <c r="AD89" s="139">
        <v>7.7</v>
      </c>
      <c r="AE89" s="76"/>
      <c r="AF89" s="76"/>
      <c r="AG89" s="69"/>
      <c r="AH89" s="69"/>
      <c r="AI89" s="58"/>
      <c r="AJ89" s="62"/>
      <c r="AK89" s="252" t="s">
        <v>1162</v>
      </c>
      <c r="AL89" s="352" t="s">
        <v>1493</v>
      </c>
      <c r="AM89" s="38"/>
      <c r="AN89" s="41"/>
      <c r="AO89" s="82"/>
      <c r="AP89" s="41"/>
      <c r="AQ89" s="331"/>
      <c r="AR89" s="58" t="s">
        <v>1161</v>
      </c>
    </row>
    <row r="90" spans="1:44" ht="78" customHeight="1" x14ac:dyDescent="0.2">
      <c r="A90" s="21" t="s">
        <v>1167</v>
      </c>
      <c r="B90" s="22" t="s">
        <v>1171</v>
      </c>
      <c r="C90" s="22"/>
      <c r="D90" s="56" t="s">
        <v>1170</v>
      </c>
      <c r="E90" s="24" t="s">
        <v>105</v>
      </c>
      <c r="F90" s="26" t="s">
        <v>122</v>
      </c>
      <c r="G90" s="24" t="s">
        <v>59</v>
      </c>
      <c r="H90" s="90"/>
      <c r="I90" s="255" t="s">
        <v>1208</v>
      </c>
      <c r="J90" s="255" t="s">
        <v>1207</v>
      </c>
      <c r="K90" s="267" t="s">
        <v>1199</v>
      </c>
      <c r="L90" s="22" t="s">
        <v>328</v>
      </c>
      <c r="M90" s="91" t="s">
        <v>1206</v>
      </c>
      <c r="N90" s="91" t="s">
        <v>1206</v>
      </c>
      <c r="O90" s="67">
        <v>40544</v>
      </c>
      <c r="P90" s="82">
        <v>9</v>
      </c>
      <c r="Q90" s="27">
        <v>42010</v>
      </c>
      <c r="R90" s="255" t="s">
        <v>312</v>
      </c>
      <c r="S90" s="489"/>
      <c r="T90" s="223"/>
      <c r="U90" s="296"/>
      <c r="V90" s="91"/>
      <c r="W90" s="250"/>
      <c r="X90" s="139">
        <f t="shared" si="5"/>
        <v>16836</v>
      </c>
      <c r="Y90" s="255" t="s">
        <v>1205</v>
      </c>
      <c r="Z90" s="140">
        <f>15600+475+761</f>
        <v>16836</v>
      </c>
      <c r="AA90" s="74"/>
      <c r="AB90" s="25"/>
      <c r="AC90" s="139">
        <f t="shared" si="6"/>
        <v>0</v>
      </c>
      <c r="AD90" s="139"/>
      <c r="AE90" s="76"/>
      <c r="AF90" s="76"/>
      <c r="AG90" s="69"/>
      <c r="AH90" s="69">
        <v>9</v>
      </c>
      <c r="AI90" s="58"/>
      <c r="AJ90" s="62"/>
      <c r="AK90" s="252" t="s">
        <v>1204</v>
      </c>
      <c r="AL90" s="351" t="s">
        <v>1466</v>
      </c>
      <c r="AM90" s="38"/>
      <c r="AN90" s="41"/>
      <c r="AO90" s="82"/>
      <c r="AP90" s="41"/>
      <c r="AQ90" s="331"/>
      <c r="AR90" s="58" t="s">
        <v>1161</v>
      </c>
    </row>
    <row r="91" spans="1:44" ht="66" customHeight="1" x14ac:dyDescent="0.2">
      <c r="A91" s="21" t="s">
        <v>1168</v>
      </c>
      <c r="B91" s="22" t="s">
        <v>1173</v>
      </c>
      <c r="C91" s="22"/>
      <c r="D91" s="56" t="s">
        <v>1172</v>
      </c>
      <c r="E91" s="24" t="s">
        <v>105</v>
      </c>
      <c r="F91" s="26" t="s">
        <v>122</v>
      </c>
      <c r="G91" s="24" t="s">
        <v>59</v>
      </c>
      <c r="H91" s="90"/>
      <c r="I91" s="255" t="s">
        <v>1343</v>
      </c>
      <c r="J91" s="255" t="s">
        <v>1344</v>
      </c>
      <c r="K91" s="267" t="s">
        <v>1199</v>
      </c>
      <c r="L91" s="22" t="s">
        <v>328</v>
      </c>
      <c r="M91" s="22" t="s">
        <v>1206</v>
      </c>
      <c r="N91" s="22" t="s">
        <v>1203</v>
      </c>
      <c r="O91" s="67">
        <v>42005</v>
      </c>
      <c r="P91" s="82">
        <v>1.5</v>
      </c>
      <c r="Q91" s="27">
        <v>42010</v>
      </c>
      <c r="R91" s="255" t="s">
        <v>288</v>
      </c>
      <c r="S91" s="489" t="s">
        <v>1201</v>
      </c>
      <c r="T91" s="223"/>
      <c r="U91" s="296"/>
      <c r="V91" s="91"/>
      <c r="W91" s="250"/>
      <c r="X91" s="139">
        <f t="shared" si="5"/>
        <v>0.3</v>
      </c>
      <c r="Y91" s="255"/>
      <c r="Z91" s="140"/>
      <c r="AA91" s="74"/>
      <c r="AB91" s="25"/>
      <c r="AC91" s="139">
        <f t="shared" si="6"/>
        <v>0.3</v>
      </c>
      <c r="AD91" s="139">
        <v>0.3</v>
      </c>
      <c r="AE91" s="76"/>
      <c r="AF91" s="76"/>
      <c r="AG91" s="69"/>
      <c r="AH91" s="69"/>
      <c r="AI91" s="58"/>
      <c r="AJ91" s="62"/>
      <c r="AK91" s="252"/>
      <c r="AL91" s="352" t="s">
        <v>1495</v>
      </c>
      <c r="AM91" s="38"/>
      <c r="AN91" s="41"/>
      <c r="AO91" s="82"/>
      <c r="AP91" s="41"/>
      <c r="AQ91" s="331"/>
      <c r="AR91" s="58" t="s">
        <v>1161</v>
      </c>
    </row>
    <row r="92" spans="1:44" ht="46.5" customHeight="1" x14ac:dyDescent="0.2">
      <c r="A92" s="21" t="s">
        <v>1169</v>
      </c>
      <c r="B92" s="22" t="s">
        <v>1175</v>
      </c>
      <c r="C92" s="22"/>
      <c r="D92" s="56" t="s">
        <v>1174</v>
      </c>
      <c r="E92" s="24" t="s">
        <v>105</v>
      </c>
      <c r="F92" s="26" t="s">
        <v>122</v>
      </c>
      <c r="G92" s="24" t="s">
        <v>59</v>
      </c>
      <c r="H92" s="90"/>
      <c r="I92" s="255" t="s">
        <v>1209</v>
      </c>
      <c r="J92" s="255"/>
      <c r="K92" s="267" t="s">
        <v>1199</v>
      </c>
      <c r="L92" s="22" t="s">
        <v>328</v>
      </c>
      <c r="M92" s="285" t="s">
        <v>1210</v>
      </c>
      <c r="N92" s="285" t="s">
        <v>1218</v>
      </c>
      <c r="O92" s="67"/>
      <c r="P92" s="82"/>
      <c r="Q92" s="27">
        <v>42010</v>
      </c>
      <c r="R92" s="255" t="s">
        <v>290</v>
      </c>
      <c r="S92" s="91"/>
      <c r="T92" s="223"/>
      <c r="U92" s="296"/>
      <c r="V92" s="91"/>
      <c r="W92" s="250"/>
      <c r="X92" s="139">
        <f t="shared" si="5"/>
        <v>0</v>
      </c>
      <c r="Y92" s="255"/>
      <c r="Z92" s="140"/>
      <c r="AA92" s="74"/>
      <c r="AB92" s="25"/>
      <c r="AC92" s="139">
        <f t="shared" si="6"/>
        <v>0</v>
      </c>
      <c r="AD92" s="139"/>
      <c r="AE92" s="76"/>
      <c r="AF92" s="76"/>
      <c r="AG92" s="69"/>
      <c r="AH92" s="69"/>
      <c r="AI92" s="58"/>
      <c r="AJ92" s="62"/>
      <c r="AK92" s="252"/>
      <c r="AL92" s="352" t="s">
        <v>1275</v>
      </c>
      <c r="AM92" s="38"/>
      <c r="AN92" s="41"/>
      <c r="AO92" s="82"/>
      <c r="AP92" s="41"/>
      <c r="AQ92" s="331"/>
      <c r="AR92" s="58"/>
    </row>
    <row r="93" spans="1:44" ht="53.25" customHeight="1" x14ac:dyDescent="0.2">
      <c r="A93" s="21" t="s">
        <v>1178</v>
      </c>
      <c r="B93" s="22" t="s">
        <v>1177</v>
      </c>
      <c r="C93" s="22"/>
      <c r="D93" s="56" t="s">
        <v>1176</v>
      </c>
      <c r="E93" s="24" t="s">
        <v>106</v>
      </c>
      <c r="F93" s="26" t="s">
        <v>108</v>
      </c>
      <c r="G93" s="24" t="s">
        <v>176</v>
      </c>
      <c r="H93" s="90"/>
      <c r="I93" s="255" t="s">
        <v>1346</v>
      </c>
      <c r="J93" s="255" t="s">
        <v>1217</v>
      </c>
      <c r="K93" s="267" t="s">
        <v>1211</v>
      </c>
      <c r="L93" s="22" t="s">
        <v>749</v>
      </c>
      <c r="M93" s="22" t="s">
        <v>298</v>
      </c>
      <c r="N93" s="91" t="s">
        <v>1345</v>
      </c>
      <c r="O93" s="67">
        <v>38353</v>
      </c>
      <c r="P93" s="82">
        <v>13</v>
      </c>
      <c r="Q93" s="27">
        <v>42010</v>
      </c>
      <c r="R93" s="255" t="s">
        <v>312</v>
      </c>
      <c r="S93" s="489" t="s">
        <v>1212</v>
      </c>
      <c r="T93" s="223"/>
      <c r="U93" s="296"/>
      <c r="V93" s="91"/>
      <c r="W93" s="250"/>
      <c r="X93" s="139">
        <f t="shared" si="5"/>
        <v>0</v>
      </c>
      <c r="Y93" s="255"/>
      <c r="Z93" s="140"/>
      <c r="AA93" s="74"/>
      <c r="AB93" s="25"/>
      <c r="AC93" s="139">
        <f t="shared" si="6"/>
        <v>0</v>
      </c>
      <c r="AD93" s="139"/>
      <c r="AE93" s="76"/>
      <c r="AF93" s="76"/>
      <c r="AG93" s="69"/>
      <c r="AH93" s="69">
        <v>0.622</v>
      </c>
      <c r="AI93" s="58"/>
      <c r="AJ93" s="62" t="s">
        <v>1214</v>
      </c>
      <c r="AK93" s="62" t="s">
        <v>1215</v>
      </c>
      <c r="AL93" s="352" t="s">
        <v>1347</v>
      </c>
      <c r="AM93" s="38">
        <v>224</v>
      </c>
      <c r="AN93" s="41"/>
      <c r="AO93" s="82"/>
      <c r="AP93" s="41"/>
      <c r="AQ93" s="331" t="s">
        <v>1216</v>
      </c>
      <c r="AR93" s="58"/>
    </row>
    <row r="94" spans="1:44" ht="53.25" customHeight="1" x14ac:dyDescent="0.2">
      <c r="A94" s="157" t="s">
        <v>1220</v>
      </c>
      <c r="B94" s="158" t="s">
        <v>1444</v>
      </c>
      <c r="C94" s="158"/>
      <c r="D94" s="159" t="s">
        <v>1219</v>
      </c>
      <c r="E94" s="160" t="s">
        <v>106</v>
      </c>
      <c r="F94" s="161" t="s">
        <v>108</v>
      </c>
      <c r="G94" s="160" t="s">
        <v>176</v>
      </c>
      <c r="H94" s="290"/>
      <c r="I94" s="268" t="s">
        <v>1228</v>
      </c>
      <c r="J94" s="268" t="s">
        <v>1222</v>
      </c>
      <c r="K94" s="359" t="s">
        <v>1221</v>
      </c>
      <c r="L94" s="158" t="s">
        <v>436</v>
      </c>
      <c r="M94" s="158" t="s">
        <v>1227</v>
      </c>
      <c r="N94" s="158" t="s">
        <v>1225</v>
      </c>
      <c r="O94" s="291">
        <v>41640</v>
      </c>
      <c r="P94" s="197">
        <v>30</v>
      </c>
      <c r="Q94" s="164">
        <v>42059</v>
      </c>
      <c r="R94" s="268" t="s">
        <v>290</v>
      </c>
      <c r="S94" s="182"/>
      <c r="T94" s="292" t="s">
        <v>764</v>
      </c>
      <c r="U94" s="299"/>
      <c r="V94" s="182"/>
      <c r="W94" s="300"/>
      <c r="X94" s="277">
        <f t="shared" si="5"/>
        <v>30</v>
      </c>
      <c r="Y94" s="268"/>
      <c r="Z94" s="301"/>
      <c r="AA94" s="167"/>
      <c r="AB94" s="168"/>
      <c r="AC94" s="277">
        <f t="shared" si="6"/>
        <v>30</v>
      </c>
      <c r="AD94" s="277">
        <v>20</v>
      </c>
      <c r="AE94" s="274">
        <v>10</v>
      </c>
      <c r="AF94" s="274"/>
      <c r="AG94" s="293"/>
      <c r="AH94" s="293">
        <v>99</v>
      </c>
      <c r="AI94" s="170"/>
      <c r="AJ94" s="171" t="s">
        <v>1226</v>
      </c>
      <c r="AK94" s="171" t="s">
        <v>1223</v>
      </c>
      <c r="AL94" s="495"/>
      <c r="AM94" s="166"/>
      <c r="AN94" s="172"/>
      <c r="AO94" s="197"/>
      <c r="AP94" s="172"/>
      <c r="AQ94" s="333"/>
      <c r="AR94" s="170" t="s">
        <v>1224</v>
      </c>
    </row>
    <row r="95" spans="1:44" s="311" customFormat="1" ht="63" customHeight="1" x14ac:dyDescent="0.2">
      <c r="A95" s="21" t="s">
        <v>1258</v>
      </c>
      <c r="B95" s="22" t="s">
        <v>1259</v>
      </c>
      <c r="C95" s="22"/>
      <c r="D95" s="56" t="s">
        <v>1260</v>
      </c>
      <c r="E95" s="88" t="s">
        <v>106</v>
      </c>
      <c r="F95" s="89" t="s">
        <v>124</v>
      </c>
      <c r="G95" s="90" t="s">
        <v>73</v>
      </c>
      <c r="H95" s="90"/>
      <c r="I95" s="255" t="s">
        <v>1262</v>
      </c>
      <c r="J95" s="255" t="s">
        <v>1263</v>
      </c>
      <c r="K95" s="267" t="s">
        <v>1261</v>
      </c>
      <c r="L95" s="22" t="s">
        <v>328</v>
      </c>
      <c r="M95" s="22" t="s">
        <v>984</v>
      </c>
      <c r="N95" s="91" t="s">
        <v>1264</v>
      </c>
      <c r="O95" s="67">
        <v>42186</v>
      </c>
      <c r="P95" s="82"/>
      <c r="Q95" s="27">
        <v>42110</v>
      </c>
      <c r="R95" s="255" t="s">
        <v>290</v>
      </c>
      <c r="S95" s="91" t="s">
        <v>1266</v>
      </c>
      <c r="T95" s="223"/>
      <c r="U95" s="296"/>
      <c r="V95" s="91"/>
      <c r="W95" s="250"/>
      <c r="X95" s="139">
        <f t="shared" si="5"/>
        <v>70</v>
      </c>
      <c r="Y95" s="255"/>
      <c r="Z95" s="140"/>
      <c r="AA95" s="74"/>
      <c r="AB95" s="25"/>
      <c r="AC95" s="139">
        <f t="shared" si="6"/>
        <v>70</v>
      </c>
      <c r="AD95" s="139">
        <v>63</v>
      </c>
      <c r="AE95" s="76"/>
      <c r="AF95" s="76">
        <f>0.8+2+4.2</f>
        <v>7</v>
      </c>
      <c r="AG95" s="69"/>
      <c r="AH95" s="69">
        <f>3.5+1+2</f>
        <v>6.5</v>
      </c>
      <c r="AI95" s="58"/>
      <c r="AJ95" s="62"/>
      <c r="AK95" s="62" t="s">
        <v>1265</v>
      </c>
      <c r="AL95" s="352" t="s">
        <v>1267</v>
      </c>
      <c r="AM95" s="38"/>
      <c r="AN95" s="41"/>
      <c r="AO95" s="82"/>
      <c r="AP95" s="41"/>
      <c r="AQ95" s="334"/>
      <c r="AR95" s="58"/>
    </row>
    <row r="96" spans="1:44" s="311" customFormat="1" ht="63" customHeight="1" x14ac:dyDescent="0.2">
      <c r="A96" s="21" t="s">
        <v>1357</v>
      </c>
      <c r="B96" s="22" t="s">
        <v>1362</v>
      </c>
      <c r="C96" s="22"/>
      <c r="D96" s="56" t="s">
        <v>1363</v>
      </c>
      <c r="E96" s="259" t="s">
        <v>102</v>
      </c>
      <c r="F96" s="260" t="s">
        <v>606</v>
      </c>
      <c r="G96" s="90" t="s">
        <v>1364</v>
      </c>
      <c r="H96" s="90"/>
      <c r="I96" s="255" t="s">
        <v>1365</v>
      </c>
      <c r="J96" s="255" t="s">
        <v>1366</v>
      </c>
      <c r="K96" s="267" t="s">
        <v>1367</v>
      </c>
      <c r="L96" s="22" t="s">
        <v>1435</v>
      </c>
      <c r="M96" s="22" t="s">
        <v>911</v>
      </c>
      <c r="N96" s="91" t="s">
        <v>1368</v>
      </c>
      <c r="O96" s="67">
        <v>42186</v>
      </c>
      <c r="P96" s="82">
        <v>3</v>
      </c>
      <c r="Q96" s="27">
        <v>42159</v>
      </c>
      <c r="R96" s="255" t="s">
        <v>290</v>
      </c>
      <c r="S96" s="91"/>
      <c r="T96" s="223"/>
      <c r="U96" s="296"/>
      <c r="V96" s="91"/>
      <c r="W96" s="250"/>
      <c r="X96" s="139">
        <f t="shared" si="5"/>
        <v>395</v>
      </c>
      <c r="Y96" s="255"/>
      <c r="Z96" s="140">
        <v>154</v>
      </c>
      <c r="AA96" s="74"/>
      <c r="AB96" s="25"/>
      <c r="AC96" s="139">
        <f t="shared" si="6"/>
        <v>241</v>
      </c>
      <c r="AD96" s="139">
        <v>237</v>
      </c>
      <c r="AE96" s="76"/>
      <c r="AF96" s="76">
        <v>4</v>
      </c>
      <c r="AG96" s="69"/>
      <c r="AH96" s="69">
        <v>0.38708999999999999</v>
      </c>
      <c r="AI96" s="58"/>
      <c r="AJ96" s="62"/>
      <c r="AK96" s="62" t="s">
        <v>1369</v>
      </c>
      <c r="AL96" s="310" t="s">
        <v>1275</v>
      </c>
      <c r="AM96" s="38"/>
      <c r="AN96" s="41"/>
      <c r="AO96" s="82"/>
      <c r="AP96" s="41"/>
      <c r="AQ96" s="334"/>
      <c r="AR96" s="58"/>
    </row>
    <row r="97" spans="1:44" s="311" customFormat="1" ht="63" customHeight="1" x14ac:dyDescent="0.2">
      <c r="A97" s="21" t="s">
        <v>1358</v>
      </c>
      <c r="B97" s="22" t="s">
        <v>1370</v>
      </c>
      <c r="C97" s="22"/>
      <c r="D97" s="56" t="s">
        <v>1371</v>
      </c>
      <c r="E97" s="259" t="s">
        <v>102</v>
      </c>
      <c r="F97" s="260" t="s">
        <v>606</v>
      </c>
      <c r="G97" s="90" t="s">
        <v>1364</v>
      </c>
      <c r="H97" s="90"/>
      <c r="I97" s="255" t="s">
        <v>1373</v>
      </c>
      <c r="J97" s="255" t="s">
        <v>1372</v>
      </c>
      <c r="K97" s="267" t="s">
        <v>1367</v>
      </c>
      <c r="L97" s="22" t="s">
        <v>1435</v>
      </c>
      <c r="M97" s="22" t="s">
        <v>911</v>
      </c>
      <c r="N97" s="91" t="s">
        <v>1368</v>
      </c>
      <c r="O97" s="67">
        <v>42186</v>
      </c>
      <c r="P97" s="82">
        <v>3</v>
      </c>
      <c r="Q97" s="27">
        <v>42159</v>
      </c>
      <c r="R97" s="255" t="s">
        <v>290</v>
      </c>
      <c r="S97" s="91"/>
      <c r="T97" s="223"/>
      <c r="U97" s="296"/>
      <c r="V97" s="91"/>
      <c r="W97" s="250"/>
      <c r="X97" s="139">
        <f t="shared" si="5"/>
        <v>453</v>
      </c>
      <c r="Y97" s="255"/>
      <c r="Z97" s="140">
        <v>176.5</v>
      </c>
      <c r="AA97" s="74"/>
      <c r="AB97" s="25"/>
      <c r="AC97" s="139">
        <f t="shared" si="6"/>
        <v>276.5</v>
      </c>
      <c r="AD97" s="139">
        <v>272</v>
      </c>
      <c r="AE97" s="76"/>
      <c r="AF97" s="76">
        <v>4.5</v>
      </c>
      <c r="AG97" s="69"/>
      <c r="AH97" s="69">
        <v>0.38708999999999999</v>
      </c>
      <c r="AI97" s="58"/>
      <c r="AJ97" s="62"/>
      <c r="AK97" s="62" t="s">
        <v>1387</v>
      </c>
      <c r="AL97" s="310" t="s">
        <v>1275</v>
      </c>
      <c r="AM97" s="38">
        <v>350</v>
      </c>
      <c r="AN97" s="41"/>
      <c r="AO97" s="82"/>
      <c r="AP97" s="41"/>
      <c r="AQ97" s="334"/>
      <c r="AR97" s="58"/>
    </row>
    <row r="98" spans="1:44" s="311" customFormat="1" ht="63" customHeight="1" x14ac:dyDescent="0.2">
      <c r="A98" s="21" t="s">
        <v>1359</v>
      </c>
      <c r="B98" s="22" t="s">
        <v>1375</v>
      </c>
      <c r="C98" s="22"/>
      <c r="D98" s="56" t="s">
        <v>1374</v>
      </c>
      <c r="E98" s="259" t="s">
        <v>102</v>
      </c>
      <c r="F98" s="260" t="s">
        <v>606</v>
      </c>
      <c r="G98" s="90" t="s">
        <v>1364</v>
      </c>
      <c r="H98" s="90" t="s">
        <v>1386</v>
      </c>
      <c r="I98" s="255" t="s">
        <v>1376</v>
      </c>
      <c r="J98" s="255"/>
      <c r="K98" s="267" t="s">
        <v>1367</v>
      </c>
      <c r="L98" s="22" t="s">
        <v>1435</v>
      </c>
      <c r="M98" s="22" t="s">
        <v>94</v>
      </c>
      <c r="N98" s="22" t="s">
        <v>93</v>
      </c>
      <c r="O98" s="67">
        <v>42186</v>
      </c>
      <c r="P98" s="82">
        <v>1</v>
      </c>
      <c r="Q98" s="27">
        <v>42159</v>
      </c>
      <c r="R98" s="255" t="s">
        <v>290</v>
      </c>
      <c r="S98" s="91"/>
      <c r="T98" s="223"/>
      <c r="U98" s="296"/>
      <c r="V98" s="91"/>
      <c r="W98" s="250"/>
      <c r="X98" s="139">
        <f t="shared" si="5"/>
        <v>1.294</v>
      </c>
      <c r="Y98" s="255"/>
      <c r="Z98" s="140">
        <v>0</v>
      </c>
      <c r="AA98" s="74"/>
      <c r="AB98" s="25"/>
      <c r="AC98" s="139">
        <f t="shared" si="6"/>
        <v>1.294</v>
      </c>
      <c r="AD98" s="139">
        <v>1.294</v>
      </c>
      <c r="AE98" s="76"/>
      <c r="AF98" s="76"/>
      <c r="AG98" s="69"/>
      <c r="AH98" s="80">
        <v>2.7000000000000001E-3</v>
      </c>
      <c r="AI98" s="58"/>
      <c r="AJ98" s="62"/>
      <c r="AK98" s="62" t="s">
        <v>1387</v>
      </c>
      <c r="AL98" s="310" t="s">
        <v>1275</v>
      </c>
      <c r="AM98" s="38">
        <v>1</v>
      </c>
      <c r="AN98" s="41"/>
      <c r="AO98" s="82"/>
      <c r="AP98" s="41"/>
      <c r="AQ98" s="334"/>
      <c r="AR98" s="58"/>
    </row>
    <row r="99" spans="1:44" s="311" customFormat="1" ht="63" customHeight="1" x14ac:dyDescent="0.2">
      <c r="A99" s="21" t="s">
        <v>1360</v>
      </c>
      <c r="B99" s="22" t="s">
        <v>1378</v>
      </c>
      <c r="C99" s="22"/>
      <c r="D99" s="56" t="s">
        <v>1377</v>
      </c>
      <c r="E99" s="259" t="s">
        <v>102</v>
      </c>
      <c r="F99" s="260" t="s">
        <v>606</v>
      </c>
      <c r="G99" s="90" t="s">
        <v>1364</v>
      </c>
      <c r="H99" s="90" t="s">
        <v>1386</v>
      </c>
      <c r="I99" s="255" t="s">
        <v>1383</v>
      </c>
      <c r="J99" s="255" t="s">
        <v>1381</v>
      </c>
      <c r="K99" s="267" t="s">
        <v>1367</v>
      </c>
      <c r="L99" s="22" t="s">
        <v>1435</v>
      </c>
      <c r="M99" s="22" t="s">
        <v>95</v>
      </c>
      <c r="N99" s="91" t="s">
        <v>1380</v>
      </c>
      <c r="O99" s="67">
        <v>42186</v>
      </c>
      <c r="P99" s="82">
        <v>1</v>
      </c>
      <c r="Q99" s="27">
        <v>42159</v>
      </c>
      <c r="R99" s="255" t="s">
        <v>290</v>
      </c>
      <c r="S99" s="91"/>
      <c r="T99" s="223"/>
      <c r="U99" s="296"/>
      <c r="V99" s="91"/>
      <c r="W99" s="250"/>
      <c r="X99" s="139">
        <f t="shared" si="5"/>
        <v>84.087999999999994</v>
      </c>
      <c r="Y99" s="255"/>
      <c r="Z99" s="140">
        <v>32.341000000000001</v>
      </c>
      <c r="AA99" s="74"/>
      <c r="AB99" s="25"/>
      <c r="AC99" s="139">
        <f t="shared" si="6"/>
        <v>51.747</v>
      </c>
      <c r="AD99" s="139">
        <v>50.453000000000003</v>
      </c>
      <c r="AE99" s="76"/>
      <c r="AF99" s="76">
        <v>1.294</v>
      </c>
      <c r="AG99" s="69"/>
      <c r="AH99" s="69">
        <v>0.1</v>
      </c>
      <c r="AI99" s="58"/>
      <c r="AJ99" s="62"/>
      <c r="AK99" s="62" t="s">
        <v>1387</v>
      </c>
      <c r="AL99" s="310" t="s">
        <v>1275</v>
      </c>
      <c r="AM99" s="38">
        <v>50</v>
      </c>
      <c r="AN99" s="41"/>
      <c r="AO99" s="82"/>
      <c r="AP99" s="41"/>
      <c r="AQ99" s="334"/>
      <c r="AR99" s="58"/>
    </row>
    <row r="100" spans="1:44" s="311" customFormat="1" ht="63" customHeight="1" x14ac:dyDescent="0.2">
      <c r="A100" s="21" t="s">
        <v>1361</v>
      </c>
      <c r="B100" s="22" t="s">
        <v>1379</v>
      </c>
      <c r="C100" s="22"/>
      <c r="D100" s="56" t="s">
        <v>1382</v>
      </c>
      <c r="E100" s="259" t="s">
        <v>102</v>
      </c>
      <c r="F100" s="260" t="s">
        <v>606</v>
      </c>
      <c r="G100" s="90" t="s">
        <v>1364</v>
      </c>
      <c r="H100" s="90" t="s">
        <v>1385</v>
      </c>
      <c r="I100" s="255" t="s">
        <v>1384</v>
      </c>
      <c r="J100" s="255" t="s">
        <v>1381</v>
      </c>
      <c r="K100" s="267" t="s">
        <v>1367</v>
      </c>
      <c r="L100" s="22" t="s">
        <v>1435</v>
      </c>
      <c r="M100" s="22" t="s">
        <v>95</v>
      </c>
      <c r="N100" s="91" t="s">
        <v>1380</v>
      </c>
      <c r="O100" s="67">
        <v>42186</v>
      </c>
      <c r="P100" s="82">
        <v>1</v>
      </c>
      <c r="Q100" s="27">
        <v>42159</v>
      </c>
      <c r="R100" s="255" t="s">
        <v>290</v>
      </c>
      <c r="S100" s="91"/>
      <c r="T100" s="223"/>
      <c r="U100" s="296"/>
      <c r="V100" s="91"/>
      <c r="W100" s="250"/>
      <c r="X100" s="139">
        <f t="shared" si="5"/>
        <v>84.087999999999994</v>
      </c>
      <c r="Y100" s="255"/>
      <c r="Z100" s="140">
        <v>32.341000000000001</v>
      </c>
      <c r="AA100" s="74"/>
      <c r="AB100" s="25"/>
      <c r="AC100" s="139">
        <f t="shared" si="6"/>
        <v>51.747</v>
      </c>
      <c r="AD100" s="139">
        <v>50.453000000000003</v>
      </c>
      <c r="AE100" s="76"/>
      <c r="AF100" s="76">
        <v>1.294</v>
      </c>
      <c r="AG100" s="69"/>
      <c r="AH100" s="69">
        <v>0.1</v>
      </c>
      <c r="AI100" s="58"/>
      <c r="AJ100" s="62"/>
      <c r="AK100" s="62" t="s">
        <v>1387</v>
      </c>
      <c r="AL100" s="310" t="s">
        <v>1275</v>
      </c>
      <c r="AM100" s="38">
        <v>50</v>
      </c>
      <c r="AN100" s="41"/>
      <c r="AO100" s="82"/>
      <c r="AP100" s="41"/>
      <c r="AQ100" s="334"/>
      <c r="AR100" s="58"/>
    </row>
    <row r="101" spans="1:44" s="311" customFormat="1" ht="63" customHeight="1" x14ac:dyDescent="0.2">
      <c r="A101" s="200" t="s">
        <v>1405</v>
      </c>
      <c r="B101" s="201" t="s">
        <v>1404</v>
      </c>
      <c r="C101" s="201" t="s">
        <v>1413</v>
      </c>
      <c r="D101" s="202" t="s">
        <v>1403</v>
      </c>
      <c r="E101" s="253" t="s">
        <v>105</v>
      </c>
      <c r="F101" s="319" t="s">
        <v>114</v>
      </c>
      <c r="G101" s="217" t="s">
        <v>161</v>
      </c>
      <c r="H101" s="217"/>
      <c r="I101" s="270" t="s">
        <v>1406</v>
      </c>
      <c r="J101" s="270" t="s">
        <v>1407</v>
      </c>
      <c r="K101" s="320" t="s">
        <v>1410</v>
      </c>
      <c r="L101" s="201" t="s">
        <v>1435</v>
      </c>
      <c r="M101" s="201" t="s">
        <v>1408</v>
      </c>
      <c r="N101" s="201" t="s">
        <v>1409</v>
      </c>
      <c r="O101" s="207">
        <v>42186</v>
      </c>
      <c r="P101" s="208">
        <v>0.41666666666666669</v>
      </c>
      <c r="Q101" s="209">
        <v>42171</v>
      </c>
      <c r="R101" s="270" t="s">
        <v>288</v>
      </c>
      <c r="S101" s="218"/>
      <c r="T101" s="224" t="s">
        <v>840</v>
      </c>
      <c r="U101" s="297"/>
      <c r="V101" s="218" t="s">
        <v>1349</v>
      </c>
      <c r="W101" s="321">
        <f>X101</f>
        <v>7.0000000000000007E-2</v>
      </c>
      <c r="X101" s="276">
        <f t="shared" si="5"/>
        <v>7.0000000000000007E-2</v>
      </c>
      <c r="Y101" s="270"/>
      <c r="Z101" s="302"/>
      <c r="AA101" s="212"/>
      <c r="AB101" s="213"/>
      <c r="AC101" s="276">
        <f t="shared" si="6"/>
        <v>7.0000000000000007E-2</v>
      </c>
      <c r="AD101" s="276">
        <v>7.0000000000000007E-2</v>
      </c>
      <c r="AE101" s="275"/>
      <c r="AF101" s="275"/>
      <c r="AG101" s="221"/>
      <c r="AH101" s="221">
        <v>0.02</v>
      </c>
      <c r="AI101" s="214"/>
      <c r="AJ101" s="215" t="s">
        <v>1412</v>
      </c>
      <c r="AK101" s="215"/>
      <c r="AL101" s="314"/>
      <c r="AM101" s="211"/>
      <c r="AN101" s="216"/>
      <c r="AO101" s="208"/>
      <c r="AP101" s="216"/>
      <c r="AQ101" s="332"/>
      <c r="AR101" s="214"/>
    </row>
    <row r="102" spans="1:44" s="311" customFormat="1" ht="51.75" customHeight="1" x14ac:dyDescent="0.2">
      <c r="A102" s="21" t="s">
        <v>1417</v>
      </c>
      <c r="B102" s="22" t="s">
        <v>1413</v>
      </c>
      <c r="C102" s="22" t="s">
        <v>1404</v>
      </c>
      <c r="D102" s="56" t="s">
        <v>1403</v>
      </c>
      <c r="E102" s="234" t="s">
        <v>105</v>
      </c>
      <c r="F102" s="322" t="s">
        <v>114</v>
      </c>
      <c r="G102" s="90" t="s">
        <v>161</v>
      </c>
      <c r="H102" s="90"/>
      <c r="I102" s="255" t="s">
        <v>1406</v>
      </c>
      <c r="J102" s="255" t="s">
        <v>1407</v>
      </c>
      <c r="K102" s="267" t="s">
        <v>1410</v>
      </c>
      <c r="L102" s="22" t="s">
        <v>1435</v>
      </c>
      <c r="M102" s="22" t="s">
        <v>1408</v>
      </c>
      <c r="N102" s="91" t="s">
        <v>1409</v>
      </c>
      <c r="O102" s="67">
        <v>42186</v>
      </c>
      <c r="P102" s="82">
        <v>0.41666666666666669</v>
      </c>
      <c r="Q102" s="27">
        <v>42186</v>
      </c>
      <c r="R102" s="255" t="s">
        <v>290</v>
      </c>
      <c r="S102" s="91"/>
      <c r="T102" s="223"/>
      <c r="U102" s="296"/>
      <c r="V102" s="91"/>
      <c r="W102" s="323"/>
      <c r="X102" s="139">
        <f t="shared" si="5"/>
        <v>14</v>
      </c>
      <c r="Y102" s="255"/>
      <c r="Z102" s="140">
        <v>3.1</v>
      </c>
      <c r="AA102" s="74"/>
      <c r="AB102" s="25"/>
      <c r="AC102" s="139">
        <f t="shared" si="6"/>
        <v>10.9</v>
      </c>
      <c r="AD102" s="139">
        <v>8</v>
      </c>
      <c r="AE102" s="76"/>
      <c r="AF102" s="76">
        <v>2.9</v>
      </c>
      <c r="AG102" s="69"/>
      <c r="AH102" s="69">
        <v>0.02</v>
      </c>
      <c r="AI102" s="58"/>
      <c r="AJ102" s="62" t="s">
        <v>1412</v>
      </c>
      <c r="AK102" s="62"/>
      <c r="AL102" s="310"/>
      <c r="AM102" s="38"/>
      <c r="AN102" s="41"/>
      <c r="AO102" s="82"/>
      <c r="AP102" s="41"/>
      <c r="AQ102" s="334"/>
      <c r="AR102" s="58"/>
    </row>
    <row r="103" spans="1:44" s="311" customFormat="1" ht="63" customHeight="1" x14ac:dyDescent="0.2">
      <c r="A103" s="200" t="s">
        <v>1418</v>
      </c>
      <c r="B103" s="201" t="s">
        <v>1416</v>
      </c>
      <c r="C103" s="201"/>
      <c r="D103" s="202" t="s">
        <v>1415</v>
      </c>
      <c r="E103" s="253" t="s">
        <v>112</v>
      </c>
      <c r="F103" s="254" t="s">
        <v>115</v>
      </c>
      <c r="G103" s="227" t="s">
        <v>1419</v>
      </c>
      <c r="H103" s="217"/>
      <c r="I103" s="270" t="s">
        <v>1424</v>
      </c>
      <c r="J103" s="270" t="s">
        <v>1425</v>
      </c>
      <c r="K103" s="320" t="s">
        <v>1422</v>
      </c>
      <c r="L103" s="201" t="s">
        <v>1420</v>
      </c>
      <c r="M103" s="201" t="s">
        <v>1421</v>
      </c>
      <c r="N103" s="218" t="str">
        <f>+M103</f>
        <v xml:space="preserve">Refrigeration and Air Conditioning </v>
      </c>
      <c r="O103" s="207">
        <v>42186</v>
      </c>
      <c r="P103" s="208">
        <v>1</v>
      </c>
      <c r="Q103" s="209">
        <v>42199</v>
      </c>
      <c r="R103" s="270" t="s">
        <v>288</v>
      </c>
      <c r="S103" s="218"/>
      <c r="T103" s="224" t="s">
        <v>840</v>
      </c>
      <c r="U103" s="297"/>
      <c r="V103" s="218" t="s">
        <v>662</v>
      </c>
      <c r="W103" s="321">
        <f>14.7/0.84+0.120879</f>
        <v>17.620878999999999</v>
      </c>
      <c r="X103" s="276">
        <f t="shared" si="5"/>
        <v>0.14230200000000001</v>
      </c>
      <c r="Y103" s="270"/>
      <c r="Z103" s="302"/>
      <c r="AA103" s="212"/>
      <c r="AB103" s="213"/>
      <c r="AC103" s="276">
        <f t="shared" si="6"/>
        <v>0.14230200000000001</v>
      </c>
      <c r="AD103" s="276">
        <v>7.1151000000000006E-2</v>
      </c>
      <c r="AE103" s="276">
        <v>7.1151000000000006E-2</v>
      </c>
      <c r="AF103" s="275"/>
      <c r="AG103" s="221"/>
      <c r="AH103" s="221">
        <v>2</v>
      </c>
      <c r="AI103" s="214"/>
      <c r="AJ103" s="215"/>
      <c r="AK103" s="215"/>
      <c r="AL103" s="314" t="s">
        <v>1477</v>
      </c>
      <c r="AM103" s="211"/>
      <c r="AN103" s="216"/>
      <c r="AO103" s="208"/>
      <c r="AP103" s="216"/>
      <c r="AQ103" s="332"/>
      <c r="AR103" s="214" t="s">
        <v>1423</v>
      </c>
    </row>
    <row r="104" spans="1:44" s="311" customFormat="1" ht="63" customHeight="1" x14ac:dyDescent="0.2">
      <c r="A104" s="200" t="s">
        <v>1427</v>
      </c>
      <c r="B104" s="201" t="s">
        <v>1429</v>
      </c>
      <c r="C104" s="201" t="s">
        <v>1722</v>
      </c>
      <c r="D104" s="202" t="s">
        <v>1428</v>
      </c>
      <c r="E104" s="335" t="s">
        <v>105</v>
      </c>
      <c r="F104" s="336" t="s">
        <v>111</v>
      </c>
      <c r="G104" s="217" t="s">
        <v>147</v>
      </c>
      <c r="H104" s="217"/>
      <c r="I104" s="270" t="s">
        <v>1432</v>
      </c>
      <c r="J104" s="270" t="s">
        <v>1433</v>
      </c>
      <c r="K104" s="320" t="s">
        <v>1430</v>
      </c>
      <c r="L104" s="201" t="s">
        <v>1123</v>
      </c>
      <c r="M104" s="201" t="s">
        <v>1408</v>
      </c>
      <c r="N104" s="218" t="s">
        <v>94</v>
      </c>
      <c r="O104" s="218"/>
      <c r="P104" s="208"/>
      <c r="Q104" s="209">
        <v>42212</v>
      </c>
      <c r="R104" s="270" t="s">
        <v>288</v>
      </c>
      <c r="S104" s="218" t="s">
        <v>1431</v>
      </c>
      <c r="T104" s="224" t="s">
        <v>840</v>
      </c>
      <c r="U104" s="297"/>
      <c r="V104" s="218" t="s">
        <v>1349</v>
      </c>
      <c r="W104" s="321">
        <v>0.06</v>
      </c>
      <c r="X104" s="276">
        <f t="shared" si="5"/>
        <v>0.06</v>
      </c>
      <c r="Y104" s="270"/>
      <c r="Z104" s="302"/>
      <c r="AA104" s="212"/>
      <c r="AB104" s="213"/>
      <c r="AC104" s="276">
        <v>0.06</v>
      </c>
      <c r="AD104" s="276"/>
      <c r="AE104" s="275"/>
      <c r="AF104" s="275"/>
      <c r="AG104" s="221"/>
      <c r="AH104" s="221"/>
      <c r="AI104" s="214"/>
      <c r="AJ104" s="215"/>
      <c r="AK104" s="215"/>
      <c r="AL104" s="314"/>
      <c r="AM104" s="211"/>
      <c r="AN104" s="216"/>
      <c r="AO104" s="208"/>
      <c r="AP104" s="216"/>
      <c r="AQ104" s="332"/>
      <c r="AR104" s="214"/>
    </row>
    <row r="105" spans="1:44" s="311" customFormat="1" ht="41.25" customHeight="1" x14ac:dyDescent="0.2">
      <c r="A105" s="21" t="s">
        <v>1450</v>
      </c>
      <c r="B105" s="22" t="s">
        <v>1445</v>
      </c>
      <c r="C105" s="22" t="s">
        <v>1071</v>
      </c>
      <c r="D105" s="56" t="s">
        <v>275</v>
      </c>
      <c r="E105" s="24" t="s">
        <v>106</v>
      </c>
      <c r="F105" s="26" t="s">
        <v>108</v>
      </c>
      <c r="G105" s="24" t="s">
        <v>176</v>
      </c>
      <c r="H105" s="24"/>
      <c r="I105" s="255" t="s">
        <v>1449</v>
      </c>
      <c r="J105" s="255" t="s">
        <v>1448</v>
      </c>
      <c r="K105" s="267" t="s">
        <v>1446</v>
      </c>
      <c r="L105" s="22" t="s">
        <v>436</v>
      </c>
      <c r="M105" s="28" t="s">
        <v>298</v>
      </c>
      <c r="N105" s="45" t="s">
        <v>1447</v>
      </c>
      <c r="O105" s="339">
        <v>42217</v>
      </c>
      <c r="P105" s="340">
        <v>2</v>
      </c>
      <c r="Q105" s="27">
        <v>42223</v>
      </c>
      <c r="R105" s="255" t="s">
        <v>288</v>
      </c>
      <c r="S105" s="489" t="s">
        <v>289</v>
      </c>
      <c r="T105" s="28"/>
      <c r="U105" s="45"/>
      <c r="V105" s="91"/>
      <c r="W105" s="120"/>
      <c r="X105" s="139">
        <f t="shared" si="5"/>
        <v>0.625</v>
      </c>
      <c r="Y105" s="255"/>
      <c r="Z105" s="140"/>
      <c r="AA105" s="74" t="s">
        <v>300</v>
      </c>
      <c r="AB105" s="25"/>
      <c r="AC105" s="139">
        <f t="shared" ref="AC105:AC121" si="7">SUM(AD105:AF105)</f>
        <v>0.625</v>
      </c>
      <c r="AD105" s="139">
        <v>0.625</v>
      </c>
      <c r="AE105" s="76">
        <v>0</v>
      </c>
      <c r="AF105" s="76">
        <v>0</v>
      </c>
      <c r="AG105" s="344"/>
      <c r="AH105" s="344"/>
      <c r="AI105" s="58"/>
      <c r="AJ105" s="62"/>
      <c r="AK105" s="62"/>
      <c r="AL105" s="62"/>
      <c r="AM105" s="38"/>
      <c r="AN105" s="41"/>
      <c r="AO105" s="82"/>
      <c r="AP105" s="41"/>
      <c r="AQ105" s="255"/>
      <c r="AR105" s="24"/>
    </row>
    <row r="106" spans="1:44" s="311" customFormat="1" ht="65.25" customHeight="1" x14ac:dyDescent="0.2">
      <c r="A106" s="200" t="s">
        <v>1451</v>
      </c>
      <c r="B106" s="201" t="s">
        <v>1453</v>
      </c>
      <c r="C106" s="201"/>
      <c r="D106" s="202" t="s">
        <v>1452</v>
      </c>
      <c r="E106" s="203" t="s">
        <v>105</v>
      </c>
      <c r="F106" s="204" t="s">
        <v>103</v>
      </c>
      <c r="G106" s="203" t="s">
        <v>87</v>
      </c>
      <c r="H106" s="203"/>
      <c r="I106" s="270" t="s">
        <v>1460</v>
      </c>
      <c r="J106" s="270" t="s">
        <v>1459</v>
      </c>
      <c r="K106" s="320" t="s">
        <v>1454</v>
      </c>
      <c r="L106" s="205" t="s">
        <v>1435</v>
      </c>
      <c r="M106" s="206" t="s">
        <v>1123</v>
      </c>
      <c r="N106" s="206" t="s">
        <v>1461</v>
      </c>
      <c r="O106" s="349">
        <v>42217</v>
      </c>
      <c r="P106" s="219">
        <v>5</v>
      </c>
      <c r="Q106" s="209">
        <v>42243</v>
      </c>
      <c r="R106" s="270" t="s">
        <v>290</v>
      </c>
      <c r="S106" s="269" t="s">
        <v>1455</v>
      </c>
      <c r="T106" s="224" t="s">
        <v>840</v>
      </c>
      <c r="U106" s="206"/>
      <c r="V106" s="218" t="s">
        <v>663</v>
      </c>
      <c r="W106" s="321">
        <v>3.6</v>
      </c>
      <c r="X106" s="276">
        <f t="shared" si="5"/>
        <v>919.4</v>
      </c>
      <c r="Y106" s="270"/>
      <c r="Z106" s="302"/>
      <c r="AA106" s="212" t="s">
        <v>1456</v>
      </c>
      <c r="AB106" s="213"/>
      <c r="AC106" s="276">
        <f t="shared" si="7"/>
        <v>919.4</v>
      </c>
      <c r="AD106" s="276">
        <v>915.8</v>
      </c>
      <c r="AE106" s="275"/>
      <c r="AF106" s="275">
        <v>3.6</v>
      </c>
      <c r="AG106" s="257"/>
      <c r="AH106" s="221">
        <f>30.5/15</f>
        <v>2.0333333333333332</v>
      </c>
      <c r="AI106" s="214"/>
      <c r="AJ106" s="215"/>
      <c r="AK106" s="215" t="s">
        <v>1457</v>
      </c>
      <c r="AL106" s="314" t="s">
        <v>1477</v>
      </c>
      <c r="AM106" s="211"/>
      <c r="AN106" s="216"/>
      <c r="AO106" s="208"/>
      <c r="AP106" s="216"/>
      <c r="AQ106" s="270"/>
      <c r="AR106" s="203" t="s">
        <v>1458</v>
      </c>
    </row>
    <row r="107" spans="1:44" s="311" customFormat="1" ht="72" customHeight="1" x14ac:dyDescent="0.2">
      <c r="A107" s="21" t="s">
        <v>1520</v>
      </c>
      <c r="B107" s="22" t="s">
        <v>1517</v>
      </c>
      <c r="C107" s="22"/>
      <c r="D107" s="56" t="s">
        <v>2252</v>
      </c>
      <c r="E107" s="88" t="s">
        <v>106</v>
      </c>
      <c r="F107" s="89" t="s">
        <v>107</v>
      </c>
      <c r="G107" s="24" t="s">
        <v>346</v>
      </c>
      <c r="H107" s="24"/>
      <c r="I107" s="255" t="s">
        <v>1536</v>
      </c>
      <c r="J107" s="255" t="s">
        <v>1535</v>
      </c>
      <c r="K107" s="267" t="s">
        <v>1531</v>
      </c>
      <c r="L107" s="28" t="s">
        <v>749</v>
      </c>
      <c r="M107" s="45" t="s">
        <v>1528</v>
      </c>
      <c r="N107" s="45" t="s">
        <v>1529</v>
      </c>
      <c r="O107" s="67">
        <v>42005</v>
      </c>
      <c r="P107" s="340">
        <v>1.5</v>
      </c>
      <c r="Q107" s="27">
        <v>42159</v>
      </c>
      <c r="R107" s="255" t="s">
        <v>288</v>
      </c>
      <c r="S107" s="489" t="s">
        <v>1532</v>
      </c>
      <c r="T107" s="223"/>
      <c r="U107" s="45"/>
      <c r="V107" s="91"/>
      <c r="W107" s="323"/>
      <c r="X107" s="139">
        <f t="shared" ref="X107:X121" si="8">Z107+AB107+AC107</f>
        <v>3</v>
      </c>
      <c r="Y107" s="255"/>
      <c r="Z107" s="140"/>
      <c r="AA107" s="74" t="s">
        <v>1533</v>
      </c>
      <c r="AB107" s="25"/>
      <c r="AC107" s="139">
        <f t="shared" si="7"/>
        <v>3</v>
      </c>
      <c r="AD107" s="139">
        <v>1.5</v>
      </c>
      <c r="AE107" s="76">
        <v>0.8</v>
      </c>
      <c r="AF107" s="76">
        <v>0.7</v>
      </c>
      <c r="AG107" s="344"/>
      <c r="AH107" s="69"/>
      <c r="AI107" s="58"/>
      <c r="AJ107" s="62"/>
      <c r="AK107" s="62"/>
      <c r="AL107" s="310" t="s">
        <v>1561</v>
      </c>
      <c r="AM107" s="38"/>
      <c r="AN107" s="117"/>
      <c r="AO107" s="82"/>
      <c r="AP107" s="41"/>
      <c r="AQ107" s="255" t="s">
        <v>1534</v>
      </c>
      <c r="AR107" s="24" t="s">
        <v>1530</v>
      </c>
    </row>
    <row r="108" spans="1:44" s="311" customFormat="1" ht="80.25" customHeight="1" x14ac:dyDescent="0.2">
      <c r="A108" s="21" t="s">
        <v>1521</v>
      </c>
      <c r="B108" s="22" t="s">
        <v>1538</v>
      </c>
      <c r="C108" s="22"/>
      <c r="D108" s="56" t="s">
        <v>1560</v>
      </c>
      <c r="E108" s="368" t="s">
        <v>105</v>
      </c>
      <c r="F108" s="369" t="s">
        <v>122</v>
      </c>
      <c r="G108" s="24" t="s">
        <v>166</v>
      </c>
      <c r="H108" s="24"/>
      <c r="I108" s="255" t="s">
        <v>1615</v>
      </c>
      <c r="J108" s="255" t="s">
        <v>1616</v>
      </c>
      <c r="K108" s="267" t="s">
        <v>1614</v>
      </c>
      <c r="L108" s="28" t="s">
        <v>436</v>
      </c>
      <c r="M108" s="45" t="s">
        <v>1617</v>
      </c>
      <c r="N108" s="45" t="s">
        <v>1618</v>
      </c>
      <c r="O108" s="67">
        <v>42370</v>
      </c>
      <c r="P108" s="340">
        <f>18/12</f>
        <v>1.5</v>
      </c>
      <c r="Q108" s="27">
        <v>42278</v>
      </c>
      <c r="R108" s="255" t="s">
        <v>288</v>
      </c>
      <c r="S108" s="489" t="s">
        <v>1580</v>
      </c>
      <c r="T108" s="223"/>
      <c r="U108" s="45"/>
      <c r="V108" s="91"/>
      <c r="W108" s="323"/>
      <c r="X108" s="139">
        <f t="shared" si="8"/>
        <v>0.4</v>
      </c>
      <c r="Y108" s="255"/>
      <c r="Z108" s="140"/>
      <c r="AA108" s="74"/>
      <c r="AB108" s="25"/>
      <c r="AC108" s="139">
        <f t="shared" si="7"/>
        <v>0.4</v>
      </c>
      <c r="AD108" s="139">
        <v>0.31</v>
      </c>
      <c r="AE108" s="76"/>
      <c r="AF108" s="76">
        <v>0.09</v>
      </c>
      <c r="AG108" s="344"/>
      <c r="AH108" s="69">
        <f>0.88/15</f>
        <v>5.8666666666666666E-2</v>
      </c>
      <c r="AI108" s="58"/>
      <c r="AJ108" s="62"/>
      <c r="AK108" s="62" t="s">
        <v>1619</v>
      </c>
      <c r="AL108" s="310" t="s">
        <v>1620</v>
      </c>
      <c r="AM108" s="38"/>
      <c r="AN108" s="117"/>
      <c r="AO108" s="82"/>
      <c r="AP108" s="41"/>
      <c r="AQ108" s="255"/>
      <c r="AR108" s="24"/>
    </row>
    <row r="109" spans="1:44" s="311" customFormat="1" ht="68.25" customHeight="1" x14ac:dyDescent="0.2">
      <c r="A109" s="21" t="s">
        <v>1522</v>
      </c>
      <c r="B109" s="22" t="s">
        <v>1539</v>
      </c>
      <c r="C109" s="22"/>
      <c r="D109" s="56" t="s">
        <v>1559</v>
      </c>
      <c r="E109" s="368" t="s">
        <v>105</v>
      </c>
      <c r="F109" s="369" t="s">
        <v>122</v>
      </c>
      <c r="G109" s="24" t="s">
        <v>166</v>
      </c>
      <c r="H109" s="24"/>
      <c r="I109" s="255" t="s">
        <v>1608</v>
      </c>
      <c r="J109" s="255" t="s">
        <v>1609</v>
      </c>
      <c r="K109" s="267" t="s">
        <v>1613</v>
      </c>
      <c r="L109" s="28" t="s">
        <v>675</v>
      </c>
      <c r="M109" s="45" t="s">
        <v>1607</v>
      </c>
      <c r="N109" s="45" t="s">
        <v>1612</v>
      </c>
      <c r="O109" s="67">
        <v>42370</v>
      </c>
      <c r="P109" s="340">
        <v>2</v>
      </c>
      <c r="Q109" s="27">
        <v>42278</v>
      </c>
      <c r="R109" s="255" t="s">
        <v>288</v>
      </c>
      <c r="S109" s="489" t="s">
        <v>1580</v>
      </c>
      <c r="T109" s="223"/>
      <c r="U109" s="45"/>
      <c r="V109" s="91"/>
      <c r="W109" s="323"/>
      <c r="X109" s="139">
        <f t="shared" si="8"/>
        <v>0.47099999999999997</v>
      </c>
      <c r="Y109" s="255"/>
      <c r="Z109" s="140"/>
      <c r="AA109" s="74"/>
      <c r="AB109" s="25"/>
      <c r="AC109" s="139">
        <f t="shared" si="7"/>
        <v>0.47099999999999997</v>
      </c>
      <c r="AD109" s="139">
        <v>0.36099999999999999</v>
      </c>
      <c r="AE109" s="76">
        <v>0.02</v>
      </c>
      <c r="AF109" s="76">
        <v>0.09</v>
      </c>
      <c r="AG109" s="344"/>
      <c r="AH109" s="69">
        <f>5.77/15</f>
        <v>0.38466666666666666</v>
      </c>
      <c r="AI109" s="58"/>
      <c r="AJ109" s="62"/>
      <c r="AK109" s="62" t="s">
        <v>1610</v>
      </c>
      <c r="AL109" s="310" t="s">
        <v>1611</v>
      </c>
      <c r="AM109" s="38"/>
      <c r="AN109" s="117"/>
      <c r="AO109" s="82"/>
      <c r="AP109" s="41"/>
      <c r="AQ109" s="255"/>
      <c r="AR109" s="24"/>
    </row>
    <row r="110" spans="1:44" s="311" customFormat="1" ht="69.75" customHeight="1" x14ac:dyDescent="0.2">
      <c r="A110" s="21" t="s">
        <v>1545</v>
      </c>
      <c r="B110" s="22" t="s">
        <v>1540</v>
      </c>
      <c r="C110" s="22"/>
      <c r="D110" s="56" t="s">
        <v>1558</v>
      </c>
      <c r="E110" s="368" t="s">
        <v>105</v>
      </c>
      <c r="F110" s="369" t="s">
        <v>122</v>
      </c>
      <c r="G110" s="24" t="s">
        <v>166</v>
      </c>
      <c r="H110" s="24"/>
      <c r="I110" s="255" t="s">
        <v>1602</v>
      </c>
      <c r="J110" s="255" t="s">
        <v>1604</v>
      </c>
      <c r="K110" s="267" t="s">
        <v>1579</v>
      </c>
      <c r="L110" s="28" t="s">
        <v>94</v>
      </c>
      <c r="M110" s="28" t="s">
        <v>1435</v>
      </c>
      <c r="N110" s="45" t="s">
        <v>1603</v>
      </c>
      <c r="O110" s="67">
        <v>42370</v>
      </c>
      <c r="P110" s="340">
        <f>18/12</f>
        <v>1.5</v>
      </c>
      <c r="Q110" s="27">
        <v>42278</v>
      </c>
      <c r="R110" s="255" t="s">
        <v>288</v>
      </c>
      <c r="S110" s="481" t="s">
        <v>1580</v>
      </c>
      <c r="T110" s="223"/>
      <c r="U110" s="45"/>
      <c r="V110" s="91"/>
      <c r="W110" s="323"/>
      <c r="X110" s="139">
        <f t="shared" si="8"/>
        <v>0.4</v>
      </c>
      <c r="Y110" s="255"/>
      <c r="Z110" s="140"/>
      <c r="AA110" s="74"/>
      <c r="AB110" s="25"/>
      <c r="AC110" s="139">
        <f t="shared" si="7"/>
        <v>0.4</v>
      </c>
      <c r="AD110" s="139">
        <v>0.31</v>
      </c>
      <c r="AE110" s="76"/>
      <c r="AF110" s="76">
        <v>0.09</v>
      </c>
      <c r="AG110" s="344"/>
      <c r="AH110" s="69">
        <f>11.3/1000</f>
        <v>1.1300000000000001E-2</v>
      </c>
      <c r="AI110" s="58"/>
      <c r="AJ110" s="62"/>
      <c r="AK110" s="62" t="s">
        <v>1605</v>
      </c>
      <c r="AL110" s="310" t="s">
        <v>1606</v>
      </c>
      <c r="AM110" s="38">
        <v>10</v>
      </c>
      <c r="AN110" s="117"/>
      <c r="AO110" s="82"/>
      <c r="AP110" s="41"/>
      <c r="AQ110" s="255"/>
      <c r="AR110" s="24"/>
    </row>
    <row r="111" spans="1:44" s="311" customFormat="1" ht="70.5" customHeight="1" x14ac:dyDescent="0.2">
      <c r="A111" s="21" t="s">
        <v>1546</v>
      </c>
      <c r="B111" s="22" t="s">
        <v>1541</v>
      </c>
      <c r="C111" s="22"/>
      <c r="D111" s="56" t="s">
        <v>1557</v>
      </c>
      <c r="E111" s="368" t="s">
        <v>105</v>
      </c>
      <c r="F111" s="369" t="s">
        <v>122</v>
      </c>
      <c r="G111" s="24" t="s">
        <v>166</v>
      </c>
      <c r="H111" s="24"/>
      <c r="I111" s="255" t="s">
        <v>1597</v>
      </c>
      <c r="J111" s="255" t="s">
        <v>1598</v>
      </c>
      <c r="K111" s="267" t="s">
        <v>1579</v>
      </c>
      <c r="L111" s="28" t="s">
        <v>94</v>
      </c>
      <c r="M111" s="28" t="s">
        <v>1420</v>
      </c>
      <c r="N111" s="45" t="s">
        <v>1599</v>
      </c>
      <c r="O111" s="67">
        <v>42370</v>
      </c>
      <c r="P111" s="340">
        <f>18/12</f>
        <v>1.5</v>
      </c>
      <c r="Q111" s="27">
        <v>42278</v>
      </c>
      <c r="R111" s="255" t="s">
        <v>288</v>
      </c>
      <c r="S111" s="489" t="s">
        <v>1580</v>
      </c>
      <c r="T111" s="223"/>
      <c r="U111" s="45"/>
      <c r="V111" s="91"/>
      <c r="W111" s="323"/>
      <c r="X111" s="139">
        <f t="shared" si="8"/>
        <v>0.23499999999999999</v>
      </c>
      <c r="Y111" s="255"/>
      <c r="Z111" s="140"/>
      <c r="AA111" s="74"/>
      <c r="AB111" s="25"/>
      <c r="AC111" s="139">
        <f t="shared" si="7"/>
        <v>0.23499999999999999</v>
      </c>
      <c r="AD111" s="139">
        <v>0.14499999999999999</v>
      </c>
      <c r="AE111" s="76"/>
      <c r="AF111" s="76">
        <v>0.09</v>
      </c>
      <c r="AG111" s="344"/>
      <c r="AH111" s="69">
        <f>0.643/15</f>
        <v>4.2866666666666671E-2</v>
      </c>
      <c r="AI111" s="58"/>
      <c r="AJ111" s="62"/>
      <c r="AK111" s="62" t="s">
        <v>1600</v>
      </c>
      <c r="AL111" s="310" t="s">
        <v>1601</v>
      </c>
      <c r="AM111" s="38"/>
      <c r="AN111" s="117"/>
      <c r="AO111" s="82"/>
      <c r="AP111" s="41"/>
      <c r="AQ111" s="255"/>
      <c r="AR111" s="24"/>
    </row>
    <row r="112" spans="1:44" s="311" customFormat="1" ht="79.5" customHeight="1" x14ac:dyDescent="0.2">
      <c r="A112" s="21" t="s">
        <v>1547</v>
      </c>
      <c r="B112" s="22" t="s">
        <v>1542</v>
      </c>
      <c r="C112" s="22"/>
      <c r="D112" s="56" t="s">
        <v>1556</v>
      </c>
      <c r="E112" s="368" t="s">
        <v>105</v>
      </c>
      <c r="F112" s="369" t="s">
        <v>122</v>
      </c>
      <c r="G112" s="24" t="s">
        <v>166</v>
      </c>
      <c r="H112" s="24"/>
      <c r="I112" s="255" t="s">
        <v>1593</v>
      </c>
      <c r="J112" s="255" t="s">
        <v>1594</v>
      </c>
      <c r="K112" s="267" t="s">
        <v>1579</v>
      </c>
      <c r="L112" s="28" t="s">
        <v>436</v>
      </c>
      <c r="M112" s="45" t="s">
        <v>628</v>
      </c>
      <c r="N112" s="45" t="s">
        <v>1591</v>
      </c>
      <c r="O112" s="67">
        <v>42370</v>
      </c>
      <c r="P112" s="340">
        <f>18/12</f>
        <v>1.5</v>
      </c>
      <c r="Q112" s="27">
        <v>42278</v>
      </c>
      <c r="R112" s="255" t="s">
        <v>288</v>
      </c>
      <c r="S112" s="365" t="s">
        <v>1580</v>
      </c>
      <c r="T112" s="223"/>
      <c r="U112" s="45"/>
      <c r="V112" s="91"/>
      <c r="W112" s="323"/>
      <c r="X112" s="139">
        <f t="shared" si="8"/>
        <v>0.28500000000000003</v>
      </c>
      <c r="Y112" s="255"/>
      <c r="Z112" s="140"/>
      <c r="AA112" s="74"/>
      <c r="AB112" s="25"/>
      <c r="AC112" s="139">
        <f t="shared" si="7"/>
        <v>0.28500000000000003</v>
      </c>
      <c r="AD112" s="139">
        <v>0.19500000000000001</v>
      </c>
      <c r="AE112" s="76"/>
      <c r="AF112" s="76">
        <v>0.09</v>
      </c>
      <c r="AG112" s="344"/>
      <c r="AH112" s="69">
        <f>0.143/15</f>
        <v>9.5333333333333329E-3</v>
      </c>
      <c r="AI112" s="58"/>
      <c r="AJ112" s="62"/>
      <c r="AK112" s="62" t="s">
        <v>1595</v>
      </c>
      <c r="AL112" s="310" t="s">
        <v>1596</v>
      </c>
      <c r="AM112" s="38"/>
      <c r="AN112" s="117"/>
      <c r="AO112" s="82"/>
      <c r="AP112" s="41"/>
      <c r="AQ112" s="255"/>
      <c r="AR112" s="24"/>
    </row>
    <row r="113" spans="1:44" s="311" customFormat="1" ht="69.75" customHeight="1" x14ac:dyDescent="0.2">
      <c r="A113" s="21" t="s">
        <v>1548</v>
      </c>
      <c r="B113" s="22" t="s">
        <v>1543</v>
      </c>
      <c r="C113" s="22"/>
      <c r="D113" s="56" t="s">
        <v>1554</v>
      </c>
      <c r="E113" s="368" t="s">
        <v>105</v>
      </c>
      <c r="F113" s="369" t="s">
        <v>122</v>
      </c>
      <c r="G113" s="24" t="s">
        <v>166</v>
      </c>
      <c r="H113" s="24" t="s">
        <v>1555</v>
      </c>
      <c r="I113" s="255" t="s">
        <v>1587</v>
      </c>
      <c r="J113" s="255" t="s">
        <v>1588</v>
      </c>
      <c r="K113" s="267" t="s">
        <v>1579</v>
      </c>
      <c r="L113" s="22" t="s">
        <v>328</v>
      </c>
      <c r="M113" s="22" t="s">
        <v>1841</v>
      </c>
      <c r="N113" s="22" t="s">
        <v>882</v>
      </c>
      <c r="O113" s="67">
        <v>42370</v>
      </c>
      <c r="P113" s="340">
        <f>18/12</f>
        <v>1.5</v>
      </c>
      <c r="Q113" s="27">
        <v>42278</v>
      </c>
      <c r="R113" s="255" t="s">
        <v>288</v>
      </c>
      <c r="S113" s="489" t="s">
        <v>1580</v>
      </c>
      <c r="T113" s="223"/>
      <c r="U113" s="45"/>
      <c r="V113" s="91"/>
      <c r="W113" s="323"/>
      <c r="X113" s="139">
        <f t="shared" si="8"/>
        <v>0.52</v>
      </c>
      <c r="Y113" s="255"/>
      <c r="Z113" s="140"/>
      <c r="AA113" s="74"/>
      <c r="AB113" s="25"/>
      <c r="AC113" s="139">
        <f t="shared" si="7"/>
        <v>0.52</v>
      </c>
      <c r="AD113" s="139">
        <v>0.43</v>
      </c>
      <c r="AE113" s="76"/>
      <c r="AF113" s="76">
        <v>0.09</v>
      </c>
      <c r="AG113" s="344"/>
      <c r="AH113" s="69">
        <f>1.26/15</f>
        <v>8.4000000000000005E-2</v>
      </c>
      <c r="AI113" s="58"/>
      <c r="AJ113" s="62"/>
      <c r="AK113" s="62" t="s">
        <v>1589</v>
      </c>
      <c r="AL113" s="310" t="s">
        <v>1590</v>
      </c>
      <c r="AM113" s="38"/>
      <c r="AN113" s="117"/>
      <c r="AO113" s="82"/>
      <c r="AP113" s="41"/>
      <c r="AQ113" s="255"/>
      <c r="AR113" s="24"/>
    </row>
    <row r="114" spans="1:44" s="311" customFormat="1" ht="70.5" customHeight="1" x14ac:dyDescent="0.2">
      <c r="A114" s="21" t="s">
        <v>1549</v>
      </c>
      <c r="B114" s="22" t="s">
        <v>1544</v>
      </c>
      <c r="C114" s="22"/>
      <c r="D114" s="56" t="s">
        <v>1553</v>
      </c>
      <c r="E114" s="368" t="s">
        <v>105</v>
      </c>
      <c r="F114" s="369" t="s">
        <v>122</v>
      </c>
      <c r="G114" s="24" t="s">
        <v>166</v>
      </c>
      <c r="H114" s="24" t="s">
        <v>1555</v>
      </c>
      <c r="I114" s="255" t="s">
        <v>1581</v>
      </c>
      <c r="J114" s="255" t="s">
        <v>1582</v>
      </c>
      <c r="K114" s="267" t="s">
        <v>1579</v>
      </c>
      <c r="L114" s="28" t="s">
        <v>608</v>
      </c>
      <c r="M114" s="45" t="s">
        <v>1583</v>
      </c>
      <c r="N114" s="45" t="s">
        <v>1584</v>
      </c>
      <c r="O114" s="67">
        <v>42370</v>
      </c>
      <c r="P114" s="340">
        <v>1.25</v>
      </c>
      <c r="Q114" s="27">
        <v>42278</v>
      </c>
      <c r="R114" s="255" t="s">
        <v>288</v>
      </c>
      <c r="S114" s="489" t="s">
        <v>1580</v>
      </c>
      <c r="T114" s="223"/>
      <c r="U114" s="45"/>
      <c r="V114" s="91"/>
      <c r="W114" s="323"/>
      <c r="X114" s="139">
        <f t="shared" si="8"/>
        <v>0.5</v>
      </c>
      <c r="Y114" s="255"/>
      <c r="Z114" s="140"/>
      <c r="AA114" s="74"/>
      <c r="AB114" s="25"/>
      <c r="AC114" s="139">
        <f t="shared" si="7"/>
        <v>0.5</v>
      </c>
      <c r="AD114" s="139">
        <v>0.41</v>
      </c>
      <c r="AE114" s="76"/>
      <c r="AF114" s="76">
        <v>0.09</v>
      </c>
      <c r="AG114" s="344"/>
      <c r="AH114" s="69">
        <f>430/15/1000</f>
        <v>2.8666666666666667E-2</v>
      </c>
      <c r="AI114" s="58"/>
      <c r="AJ114" s="62"/>
      <c r="AK114" s="62" t="s">
        <v>1585</v>
      </c>
      <c r="AL114" s="310" t="s">
        <v>1586</v>
      </c>
      <c r="AM114" s="38">
        <v>15</v>
      </c>
      <c r="AN114" s="117">
        <f>75000/AM114</f>
        <v>5000</v>
      </c>
      <c r="AO114" s="82"/>
      <c r="AP114" s="41"/>
      <c r="AQ114" s="255"/>
      <c r="AR114" s="24"/>
    </row>
    <row r="115" spans="1:44" s="311" customFormat="1" ht="65.25" customHeight="1" x14ac:dyDescent="0.2">
      <c r="A115" s="21" t="s">
        <v>1550</v>
      </c>
      <c r="B115" s="22" t="s">
        <v>1518</v>
      </c>
      <c r="C115" s="22"/>
      <c r="D115" s="56" t="s">
        <v>1519</v>
      </c>
      <c r="E115" s="259" t="s">
        <v>105</v>
      </c>
      <c r="F115" s="260" t="s">
        <v>122</v>
      </c>
      <c r="G115" s="24" t="s">
        <v>175</v>
      </c>
      <c r="H115" s="24"/>
      <c r="I115" s="255" t="s">
        <v>1524</v>
      </c>
      <c r="J115" s="255" t="s">
        <v>1525</v>
      </c>
      <c r="K115" s="267" t="s">
        <v>1579</v>
      </c>
      <c r="L115" s="22" t="s">
        <v>328</v>
      </c>
      <c r="M115" s="91" t="s">
        <v>1029</v>
      </c>
      <c r="N115" s="45" t="s">
        <v>1526</v>
      </c>
      <c r="O115" s="67">
        <v>42370</v>
      </c>
      <c r="P115" s="82">
        <v>1</v>
      </c>
      <c r="Q115" s="27">
        <v>42284</v>
      </c>
      <c r="R115" s="255" t="s">
        <v>288</v>
      </c>
      <c r="S115" s="489" t="s">
        <v>1523</v>
      </c>
      <c r="T115" s="223"/>
      <c r="U115" s="45"/>
      <c r="V115" s="91"/>
      <c r="W115" s="323"/>
      <c r="X115" s="139">
        <f t="shared" si="8"/>
        <v>0.49</v>
      </c>
      <c r="Y115" s="255"/>
      <c r="Z115" s="140"/>
      <c r="AA115" s="74"/>
      <c r="AB115" s="25"/>
      <c r="AC115" s="139">
        <f t="shared" si="7"/>
        <v>0.49</v>
      </c>
      <c r="AD115" s="139">
        <v>0.49</v>
      </c>
      <c r="AE115" s="76"/>
      <c r="AF115" s="76"/>
      <c r="AG115" s="344"/>
      <c r="AH115" s="69">
        <v>2</v>
      </c>
      <c r="AI115" s="58"/>
      <c r="AJ115" s="62"/>
      <c r="AK115" s="62" t="s">
        <v>1527</v>
      </c>
      <c r="AL115" s="364" t="s">
        <v>1488</v>
      </c>
      <c r="AM115" s="38"/>
      <c r="AN115" s="117"/>
      <c r="AO115" s="82"/>
      <c r="AP115" s="41"/>
      <c r="AQ115" s="331" t="s">
        <v>1328</v>
      </c>
      <c r="AR115" s="24"/>
    </row>
    <row r="116" spans="1:44" s="311" customFormat="1" ht="65.25" customHeight="1" x14ac:dyDescent="0.2">
      <c r="A116" s="21" t="s">
        <v>1551</v>
      </c>
      <c r="B116" s="22" t="s">
        <v>1515</v>
      </c>
      <c r="C116" s="22"/>
      <c r="D116" s="56" t="s">
        <v>1514</v>
      </c>
      <c r="E116" s="366" t="s">
        <v>112</v>
      </c>
      <c r="F116" s="367" t="s">
        <v>115</v>
      </c>
      <c r="G116" s="24" t="s">
        <v>1516</v>
      </c>
      <c r="H116" s="24" t="s">
        <v>1569</v>
      </c>
      <c r="I116" s="255" t="s">
        <v>1575</v>
      </c>
      <c r="J116" s="255" t="s">
        <v>1576</v>
      </c>
      <c r="K116" s="267" t="s">
        <v>1570</v>
      </c>
      <c r="L116" s="28" t="s">
        <v>608</v>
      </c>
      <c r="M116" s="45" t="s">
        <v>1577</v>
      </c>
      <c r="N116" s="45" t="s">
        <v>1573</v>
      </c>
      <c r="O116" s="339">
        <v>42370</v>
      </c>
      <c r="P116" s="340">
        <v>5</v>
      </c>
      <c r="Q116" s="27">
        <v>42286</v>
      </c>
      <c r="R116" s="255" t="s">
        <v>290</v>
      </c>
      <c r="S116" s="489" t="s">
        <v>1572</v>
      </c>
      <c r="T116" s="223"/>
      <c r="U116" s="45"/>
      <c r="V116" s="91"/>
      <c r="W116" s="323"/>
      <c r="X116" s="139">
        <f t="shared" si="8"/>
        <v>40</v>
      </c>
      <c r="Y116" s="255" t="s">
        <v>1571</v>
      </c>
      <c r="Z116" s="140">
        <v>32.5</v>
      </c>
      <c r="AA116" s="74"/>
      <c r="AB116" s="25"/>
      <c r="AC116" s="139">
        <f t="shared" si="7"/>
        <v>7.5</v>
      </c>
      <c r="AD116" s="139">
        <v>7.5</v>
      </c>
      <c r="AE116" s="76"/>
      <c r="AF116" s="76"/>
      <c r="AG116" s="344"/>
      <c r="AH116" s="69">
        <f>467.845/15/1000</f>
        <v>3.1189666666666668E-2</v>
      </c>
      <c r="AI116" s="58">
        <f>AH116*5</f>
        <v>0.15594833333333333</v>
      </c>
      <c r="AJ116" s="62" t="s">
        <v>1574</v>
      </c>
      <c r="AK116" s="62" t="s">
        <v>1578</v>
      </c>
      <c r="AL116" s="310" t="s">
        <v>1850</v>
      </c>
      <c r="AM116" s="38"/>
      <c r="AN116" s="117"/>
      <c r="AO116" s="82"/>
      <c r="AP116" s="41"/>
      <c r="AQ116" s="255"/>
      <c r="AR116" s="24"/>
    </row>
    <row r="117" spans="1:44" s="311" customFormat="1" ht="65.25" customHeight="1" x14ac:dyDescent="0.2">
      <c r="A117" s="21" t="s">
        <v>1552</v>
      </c>
      <c r="B117" s="22" t="s">
        <v>1537</v>
      </c>
      <c r="C117" s="22"/>
      <c r="D117" s="56" t="s">
        <v>1562</v>
      </c>
      <c r="E117" s="366" t="s">
        <v>112</v>
      </c>
      <c r="F117" s="367" t="s">
        <v>115</v>
      </c>
      <c r="G117" s="24" t="s">
        <v>1516</v>
      </c>
      <c r="H117" s="24"/>
      <c r="I117" s="255" t="s">
        <v>1564</v>
      </c>
      <c r="J117" s="255" t="s">
        <v>1563</v>
      </c>
      <c r="K117" s="267" t="s">
        <v>1566</v>
      </c>
      <c r="L117" s="22" t="s">
        <v>1123</v>
      </c>
      <c r="M117" s="45" t="s">
        <v>16</v>
      </c>
      <c r="N117" s="45" t="s">
        <v>1565</v>
      </c>
      <c r="O117" s="339">
        <v>42370</v>
      </c>
      <c r="P117" s="340">
        <f>8/12</f>
        <v>0.66666666666666663</v>
      </c>
      <c r="Q117" s="27">
        <v>42286</v>
      </c>
      <c r="R117" s="255" t="s">
        <v>288</v>
      </c>
      <c r="S117" s="489" t="s">
        <v>1568</v>
      </c>
      <c r="T117" s="223"/>
      <c r="U117" s="45"/>
      <c r="V117" s="91"/>
      <c r="W117" s="323"/>
      <c r="X117" s="139">
        <f t="shared" si="8"/>
        <v>0.1</v>
      </c>
      <c r="Y117" s="255"/>
      <c r="Z117" s="140"/>
      <c r="AA117" s="74"/>
      <c r="AB117" s="25"/>
      <c r="AC117" s="139">
        <f t="shared" si="7"/>
        <v>0.1</v>
      </c>
      <c r="AD117" s="139">
        <v>0.1</v>
      </c>
      <c r="AE117" s="76"/>
      <c r="AF117" s="76"/>
      <c r="AG117" s="344"/>
      <c r="AH117" s="69"/>
      <c r="AI117" s="58"/>
      <c r="AJ117" s="62"/>
      <c r="AK117" s="62"/>
      <c r="AL117" s="310" t="s">
        <v>1567</v>
      </c>
      <c r="AM117" s="38"/>
      <c r="AN117" s="117"/>
      <c r="AO117" s="82"/>
      <c r="AP117" s="41"/>
      <c r="AQ117" s="255"/>
      <c r="AR117" s="24"/>
    </row>
    <row r="118" spans="1:44" s="311" customFormat="1" ht="65.25" customHeight="1" x14ac:dyDescent="0.2">
      <c r="A118" s="21" t="s">
        <v>1622</v>
      </c>
      <c r="B118" s="22" t="s">
        <v>1623</v>
      </c>
      <c r="C118" s="22"/>
      <c r="D118" s="56" t="s">
        <v>1621</v>
      </c>
      <c r="E118" s="259" t="s">
        <v>105</v>
      </c>
      <c r="F118" s="260" t="s">
        <v>122</v>
      </c>
      <c r="G118" s="24" t="s">
        <v>175</v>
      </c>
      <c r="H118" s="24"/>
      <c r="I118" s="255" t="s">
        <v>1625</v>
      </c>
      <c r="J118" s="255" t="s">
        <v>1626</v>
      </c>
      <c r="K118" s="267" t="s">
        <v>1627</v>
      </c>
      <c r="L118" s="28" t="s">
        <v>436</v>
      </c>
      <c r="M118" s="45" t="s">
        <v>1624</v>
      </c>
      <c r="N118" s="45" t="s">
        <v>1628</v>
      </c>
      <c r="O118" s="339">
        <v>42370</v>
      </c>
      <c r="P118" s="340">
        <v>1</v>
      </c>
      <c r="Q118" s="27">
        <v>42293</v>
      </c>
      <c r="R118" s="255" t="s">
        <v>288</v>
      </c>
      <c r="S118" s="489"/>
      <c r="T118" s="223"/>
      <c r="U118" s="45"/>
      <c r="V118" s="91"/>
      <c r="W118" s="323"/>
      <c r="X118" s="139">
        <f t="shared" si="8"/>
        <v>0</v>
      </c>
      <c r="Y118" s="255"/>
      <c r="Z118" s="140"/>
      <c r="AA118" s="74"/>
      <c r="AB118" s="25"/>
      <c r="AC118" s="139">
        <f t="shared" si="7"/>
        <v>0</v>
      </c>
      <c r="AD118" s="139"/>
      <c r="AE118" s="76"/>
      <c r="AF118" s="76"/>
      <c r="AG118" s="344"/>
      <c r="AH118" s="69"/>
      <c r="AI118" s="58"/>
      <c r="AJ118" s="62" t="s">
        <v>1630</v>
      </c>
      <c r="AK118" s="62" t="s">
        <v>1629</v>
      </c>
      <c r="AL118" s="310" t="s">
        <v>1489</v>
      </c>
      <c r="AM118" s="38"/>
      <c r="AN118" s="117"/>
      <c r="AO118" s="82"/>
      <c r="AP118" s="41"/>
      <c r="AQ118" s="331" t="s">
        <v>1328</v>
      </c>
      <c r="AR118" s="24"/>
    </row>
    <row r="119" spans="1:44" s="311" customFormat="1" ht="65.25" customHeight="1" x14ac:dyDescent="0.2">
      <c r="A119" s="21" t="s">
        <v>1631</v>
      </c>
      <c r="B119" s="22" t="s">
        <v>1632</v>
      </c>
      <c r="C119" s="22" t="s">
        <v>1518</v>
      </c>
      <c r="D119" s="56" t="s">
        <v>1633</v>
      </c>
      <c r="E119" s="259" t="s">
        <v>105</v>
      </c>
      <c r="F119" s="260" t="s">
        <v>122</v>
      </c>
      <c r="G119" s="24" t="s">
        <v>175</v>
      </c>
      <c r="H119" s="24"/>
      <c r="I119" s="255" t="s">
        <v>1635</v>
      </c>
      <c r="J119" s="255" t="s">
        <v>1634</v>
      </c>
      <c r="K119" s="267" t="s">
        <v>1627</v>
      </c>
      <c r="L119" s="22" t="s">
        <v>328</v>
      </c>
      <c r="M119" s="91" t="s">
        <v>1029</v>
      </c>
      <c r="N119" s="45" t="s">
        <v>1526</v>
      </c>
      <c r="O119" s="339">
        <v>42370</v>
      </c>
      <c r="P119" s="340" t="s">
        <v>301</v>
      </c>
      <c r="Q119" s="27">
        <v>42293</v>
      </c>
      <c r="R119" s="255" t="s">
        <v>288</v>
      </c>
      <c r="S119" s="489"/>
      <c r="T119" s="223"/>
      <c r="U119" s="45"/>
      <c r="V119" s="91"/>
      <c r="W119" s="323"/>
      <c r="X119" s="139">
        <f t="shared" si="8"/>
        <v>0.49</v>
      </c>
      <c r="Y119" s="255"/>
      <c r="Z119" s="140"/>
      <c r="AA119" s="74"/>
      <c r="AB119" s="25"/>
      <c r="AC119" s="139">
        <f t="shared" si="7"/>
        <v>0.49</v>
      </c>
      <c r="AD119" s="139">
        <v>0.49</v>
      </c>
      <c r="AE119" s="76"/>
      <c r="AF119" s="76"/>
      <c r="AG119" s="344"/>
      <c r="AH119" s="69"/>
      <c r="AI119" s="58"/>
      <c r="AJ119" s="62"/>
      <c r="AK119" s="62"/>
      <c r="AL119" s="310"/>
      <c r="AM119" s="38"/>
      <c r="AN119" s="117"/>
      <c r="AO119" s="82"/>
      <c r="AP119" s="41"/>
      <c r="AQ119" s="331" t="s">
        <v>1328</v>
      </c>
      <c r="AR119" s="24"/>
    </row>
    <row r="120" spans="1:44" s="311" customFormat="1" ht="65.25" customHeight="1" x14ac:dyDescent="0.2">
      <c r="A120" s="21" t="s">
        <v>1643</v>
      </c>
      <c r="B120" s="22" t="s">
        <v>1644</v>
      </c>
      <c r="C120" s="22"/>
      <c r="D120" s="56" t="s">
        <v>1645</v>
      </c>
      <c r="E120" s="132" t="s">
        <v>112</v>
      </c>
      <c r="F120" s="133" t="s">
        <v>117</v>
      </c>
      <c r="G120" s="134" t="s">
        <v>74</v>
      </c>
      <c r="H120" s="24"/>
      <c r="I120" s="255" t="s">
        <v>1648</v>
      </c>
      <c r="J120" s="255" t="s">
        <v>1647</v>
      </c>
      <c r="K120" s="267" t="s">
        <v>1646</v>
      </c>
      <c r="L120" s="28" t="s">
        <v>436</v>
      </c>
      <c r="M120" s="45" t="s">
        <v>1650</v>
      </c>
      <c r="N120" s="45" t="s">
        <v>1649</v>
      </c>
      <c r="O120" s="339">
        <v>42370</v>
      </c>
      <c r="P120" s="340">
        <v>2</v>
      </c>
      <c r="Q120" s="27">
        <v>42307</v>
      </c>
      <c r="R120" s="255" t="s">
        <v>288</v>
      </c>
      <c r="S120" s="381" t="s">
        <v>1651</v>
      </c>
      <c r="T120" s="223"/>
      <c r="U120" s="45"/>
      <c r="V120" s="91"/>
      <c r="W120" s="323"/>
      <c r="X120" s="139">
        <f t="shared" si="8"/>
        <v>0.5</v>
      </c>
      <c r="Y120" s="255"/>
      <c r="Z120" s="140"/>
      <c r="AA120" s="74"/>
      <c r="AB120" s="25"/>
      <c r="AC120" s="139">
        <f t="shared" si="7"/>
        <v>0.5</v>
      </c>
      <c r="AD120" s="139">
        <v>0.2</v>
      </c>
      <c r="AE120" s="76">
        <v>0.1</v>
      </c>
      <c r="AF120" s="76">
        <v>0.2</v>
      </c>
      <c r="AG120" s="344"/>
      <c r="AH120" s="69"/>
      <c r="AI120" s="58"/>
      <c r="AJ120" s="62"/>
      <c r="AK120" s="62" t="s">
        <v>1652</v>
      </c>
      <c r="AL120" s="310" t="s">
        <v>1489</v>
      </c>
      <c r="AM120" s="38"/>
      <c r="AN120" s="117"/>
      <c r="AO120" s="82"/>
      <c r="AP120" s="41"/>
      <c r="AQ120" s="255"/>
      <c r="AR120" s="24"/>
    </row>
    <row r="121" spans="1:44" s="311" customFormat="1" ht="65.25" customHeight="1" x14ac:dyDescent="0.2">
      <c r="A121" s="21" t="s">
        <v>1653</v>
      </c>
      <c r="B121" s="22" t="s">
        <v>1657</v>
      </c>
      <c r="C121" s="22" t="s">
        <v>2034</v>
      </c>
      <c r="D121" s="56" t="s">
        <v>1663</v>
      </c>
      <c r="E121" s="132" t="s">
        <v>109</v>
      </c>
      <c r="F121" s="133" t="s">
        <v>125</v>
      </c>
      <c r="G121" s="134" t="s">
        <v>140</v>
      </c>
      <c r="H121" s="24" t="s">
        <v>1660</v>
      </c>
      <c r="I121" s="255" t="s">
        <v>1664</v>
      </c>
      <c r="J121" s="255"/>
      <c r="K121" s="267" t="s">
        <v>1662</v>
      </c>
      <c r="L121" s="22" t="s">
        <v>1437</v>
      </c>
      <c r="M121" s="22" t="s">
        <v>760</v>
      </c>
      <c r="N121" s="91" t="s">
        <v>1658</v>
      </c>
      <c r="O121" s="27">
        <v>42370</v>
      </c>
      <c r="P121" s="340">
        <v>2</v>
      </c>
      <c r="Q121" s="27">
        <v>42327</v>
      </c>
      <c r="R121" s="255" t="s">
        <v>290</v>
      </c>
      <c r="S121" s="489" t="s">
        <v>1661</v>
      </c>
      <c r="T121" s="223"/>
      <c r="U121" s="45"/>
      <c r="V121" s="91"/>
      <c r="W121" s="323"/>
      <c r="X121" s="139">
        <f t="shared" si="8"/>
        <v>15.480658483829238</v>
      </c>
      <c r="Y121" s="255" t="s">
        <v>1659</v>
      </c>
      <c r="Z121" s="140">
        <f>2.926549/0.773</f>
        <v>3.7859624838292367</v>
      </c>
      <c r="AA121" s="74"/>
      <c r="AB121" s="25"/>
      <c r="AC121" s="139">
        <f t="shared" si="7"/>
        <v>11.694696</v>
      </c>
      <c r="AD121" s="139">
        <v>11.668823</v>
      </c>
      <c r="AE121" s="76">
        <v>0</v>
      </c>
      <c r="AF121" s="76">
        <v>2.5873E-2</v>
      </c>
      <c r="AG121" s="344"/>
      <c r="AH121" s="373">
        <f>0.228/1000</f>
        <v>2.2800000000000001E-4</v>
      </c>
      <c r="AI121" s="58"/>
      <c r="AJ121" s="62"/>
      <c r="AK121" s="62" t="s">
        <v>1666</v>
      </c>
      <c r="AL121" s="310"/>
      <c r="AM121" s="38"/>
      <c r="AN121" s="117"/>
      <c r="AO121" s="82"/>
      <c r="AP121" s="41"/>
      <c r="AQ121" s="255" t="s">
        <v>1667</v>
      </c>
      <c r="AR121" s="24" t="s">
        <v>1665</v>
      </c>
    </row>
    <row r="122" spans="1:44" s="311" customFormat="1" ht="65.25" customHeight="1" x14ac:dyDescent="0.2">
      <c r="A122" s="21" t="s">
        <v>1654</v>
      </c>
      <c r="B122" s="22" t="s">
        <v>1669</v>
      </c>
      <c r="C122" s="22"/>
      <c r="D122" s="56" t="s">
        <v>1668</v>
      </c>
      <c r="E122" s="24" t="s">
        <v>106</v>
      </c>
      <c r="F122" s="26" t="s">
        <v>108</v>
      </c>
      <c r="G122" s="24" t="s">
        <v>55</v>
      </c>
      <c r="H122" s="24"/>
      <c r="I122" s="255" t="s">
        <v>1672</v>
      </c>
      <c r="J122" s="255" t="s">
        <v>1673</v>
      </c>
      <c r="K122" s="267" t="s">
        <v>1670</v>
      </c>
      <c r="L122" s="28" t="s">
        <v>1123</v>
      </c>
      <c r="M122" s="45" t="s">
        <v>1123</v>
      </c>
      <c r="N122" s="45" t="s">
        <v>1674</v>
      </c>
      <c r="O122" s="27">
        <v>42370</v>
      </c>
      <c r="P122" s="340">
        <f>8/12</f>
        <v>0.66666666666666663</v>
      </c>
      <c r="Q122" s="27">
        <v>42327</v>
      </c>
      <c r="R122" s="255" t="s">
        <v>288</v>
      </c>
      <c r="S122" s="381" t="s">
        <v>1671</v>
      </c>
      <c r="T122" s="223"/>
      <c r="U122" s="45"/>
      <c r="V122" s="91"/>
      <c r="W122" s="323"/>
      <c r="X122" s="139"/>
      <c r="Y122" s="255"/>
      <c r="Z122" s="140"/>
      <c r="AA122" s="74"/>
      <c r="AB122" s="25"/>
      <c r="AC122" s="493"/>
      <c r="AD122" s="139"/>
      <c r="AE122" s="76"/>
      <c r="AF122" s="76"/>
      <c r="AG122" s="344"/>
      <c r="AH122" s="69"/>
      <c r="AI122" s="58"/>
      <c r="AJ122" s="62"/>
      <c r="AK122" s="62"/>
      <c r="AL122" s="310"/>
      <c r="AM122" s="38"/>
      <c r="AN122" s="117"/>
      <c r="AO122" s="82"/>
      <c r="AP122" s="41"/>
      <c r="AQ122" s="255"/>
      <c r="AR122" s="24"/>
    </row>
    <row r="123" spans="1:44" s="311" customFormat="1" ht="65.25" customHeight="1" x14ac:dyDescent="0.2">
      <c r="A123" s="21" t="s">
        <v>1655</v>
      </c>
      <c r="B123" s="22" t="s">
        <v>1676</v>
      </c>
      <c r="C123" s="22"/>
      <c r="D123" s="56" t="s">
        <v>1675</v>
      </c>
      <c r="E123" s="24" t="s">
        <v>106</v>
      </c>
      <c r="F123" s="26" t="s">
        <v>108</v>
      </c>
      <c r="G123" s="24" t="s">
        <v>55</v>
      </c>
      <c r="H123" s="24"/>
      <c r="I123" s="255" t="s">
        <v>1682</v>
      </c>
      <c r="J123" s="255" t="s">
        <v>1683</v>
      </c>
      <c r="K123" s="267" t="s">
        <v>1677</v>
      </c>
      <c r="L123" s="28" t="s">
        <v>1437</v>
      </c>
      <c r="M123" s="45" t="s">
        <v>1684</v>
      </c>
      <c r="N123" s="45" t="s">
        <v>1685</v>
      </c>
      <c r="O123" s="27">
        <v>42370</v>
      </c>
      <c r="P123" s="340">
        <v>10</v>
      </c>
      <c r="Q123" s="27">
        <v>42327</v>
      </c>
      <c r="R123" s="255" t="s">
        <v>290</v>
      </c>
      <c r="S123" s="489" t="s">
        <v>1681</v>
      </c>
      <c r="T123" s="223"/>
      <c r="U123" s="45"/>
      <c r="V123" s="91"/>
      <c r="W123" s="323"/>
      <c r="X123" s="139">
        <f t="shared" ref="X123:X144" si="9">Z123+AB123+AC123</f>
        <v>65</v>
      </c>
      <c r="Y123" s="255"/>
      <c r="Z123" s="140">
        <v>52</v>
      </c>
      <c r="AA123" s="74"/>
      <c r="AB123" s="25"/>
      <c r="AC123" s="139">
        <f t="shared" ref="AC123:AC194" si="10">SUM(AD123:AF123)</f>
        <v>13</v>
      </c>
      <c r="AD123" s="139">
        <v>13</v>
      </c>
      <c r="AE123" s="76"/>
      <c r="AF123" s="76"/>
      <c r="AG123" s="344"/>
      <c r="AH123" s="69">
        <v>0.112876</v>
      </c>
      <c r="AI123" s="58"/>
      <c r="AJ123" s="62" t="s">
        <v>1680</v>
      </c>
      <c r="AK123" s="62" t="s">
        <v>1679</v>
      </c>
      <c r="AL123" s="310"/>
      <c r="AM123" s="38"/>
      <c r="AN123" s="117"/>
      <c r="AO123" s="374">
        <v>3.4492000000000002E-2</v>
      </c>
      <c r="AP123" s="41"/>
      <c r="AQ123" s="255" t="s">
        <v>1678</v>
      </c>
      <c r="AR123" s="24"/>
    </row>
    <row r="124" spans="1:44" s="311" customFormat="1" ht="76.5" customHeight="1" x14ac:dyDescent="0.2">
      <c r="A124" s="21" t="s">
        <v>1656</v>
      </c>
      <c r="B124" s="22" t="s">
        <v>1687</v>
      </c>
      <c r="C124" s="22"/>
      <c r="D124" s="56" t="s">
        <v>1686</v>
      </c>
      <c r="E124" s="24" t="s">
        <v>106</v>
      </c>
      <c r="F124" s="26" t="s">
        <v>108</v>
      </c>
      <c r="G124" s="24" t="s">
        <v>55</v>
      </c>
      <c r="H124" s="24"/>
      <c r="I124" s="255" t="s">
        <v>1688</v>
      </c>
      <c r="J124" s="255" t="s">
        <v>1689</v>
      </c>
      <c r="K124" s="267" t="s">
        <v>1690</v>
      </c>
      <c r="L124" s="28" t="s">
        <v>436</v>
      </c>
      <c r="M124" s="45" t="s">
        <v>1692</v>
      </c>
      <c r="N124" s="45" t="s">
        <v>1693</v>
      </c>
      <c r="O124" s="27">
        <v>42370</v>
      </c>
      <c r="P124" s="340">
        <v>1</v>
      </c>
      <c r="Q124" s="27">
        <v>42327</v>
      </c>
      <c r="R124" s="255" t="s">
        <v>288</v>
      </c>
      <c r="S124" s="381"/>
      <c r="T124" s="223"/>
      <c r="U124" s="45"/>
      <c r="V124" s="91"/>
      <c r="W124" s="323"/>
      <c r="X124" s="139">
        <f t="shared" si="9"/>
        <v>0.2</v>
      </c>
      <c r="Y124" s="255"/>
      <c r="Z124" s="140"/>
      <c r="AA124" s="74"/>
      <c r="AB124" s="25"/>
      <c r="AC124" s="139">
        <f t="shared" si="10"/>
        <v>0.2</v>
      </c>
      <c r="AD124" s="139">
        <v>0.2</v>
      </c>
      <c r="AE124" s="76"/>
      <c r="AF124" s="76"/>
      <c r="AG124" s="344"/>
      <c r="AH124" s="69">
        <v>4.1680000000000001</v>
      </c>
      <c r="AI124" s="58"/>
      <c r="AJ124" s="62"/>
      <c r="AK124" s="62"/>
      <c r="AL124" s="310"/>
      <c r="AM124" s="38"/>
      <c r="AN124" s="117"/>
      <c r="AO124" s="82"/>
      <c r="AP124" s="41"/>
      <c r="AQ124" s="255" t="s">
        <v>1691</v>
      </c>
      <c r="AR124" s="24"/>
    </row>
    <row r="125" spans="1:44" s="311" customFormat="1" ht="65.25" customHeight="1" x14ac:dyDescent="0.2">
      <c r="A125" s="200" t="s">
        <v>1694</v>
      </c>
      <c r="B125" s="201" t="s">
        <v>1697</v>
      </c>
      <c r="C125" s="201"/>
      <c r="D125" s="202" t="s">
        <v>1696</v>
      </c>
      <c r="E125" s="203" t="s">
        <v>106</v>
      </c>
      <c r="F125" s="204" t="s">
        <v>108</v>
      </c>
      <c r="G125" s="203" t="s">
        <v>55</v>
      </c>
      <c r="H125" s="203"/>
      <c r="I125" s="270" t="s">
        <v>1700</v>
      </c>
      <c r="J125" s="270" t="s">
        <v>1699</v>
      </c>
      <c r="K125" s="320" t="s">
        <v>1698</v>
      </c>
      <c r="L125" s="205" t="s">
        <v>1437</v>
      </c>
      <c r="M125" s="206" t="s">
        <v>1684</v>
      </c>
      <c r="N125" s="206" t="s">
        <v>1701</v>
      </c>
      <c r="O125" s="206">
        <v>42736</v>
      </c>
      <c r="P125" s="219">
        <v>5</v>
      </c>
      <c r="Q125" s="209">
        <v>42333</v>
      </c>
      <c r="R125" s="270" t="s">
        <v>290</v>
      </c>
      <c r="S125" s="269" t="s">
        <v>1702</v>
      </c>
      <c r="T125" s="224" t="s">
        <v>840</v>
      </c>
      <c r="U125" s="206"/>
      <c r="V125" s="218" t="s">
        <v>662</v>
      </c>
      <c r="W125" s="208">
        <f>9/0.84</f>
        <v>10.714285714285715</v>
      </c>
      <c r="X125" s="276">
        <f t="shared" si="9"/>
        <v>156.53298835705044</v>
      </c>
      <c r="Y125" s="270"/>
      <c r="Z125" s="302">
        <f>112/0.773</f>
        <v>144.89003880983182</v>
      </c>
      <c r="AA125" s="212"/>
      <c r="AB125" s="213"/>
      <c r="AC125" s="276">
        <f t="shared" si="10"/>
        <v>11.642949547218628</v>
      </c>
      <c r="AD125" s="276">
        <f>6/0.773</f>
        <v>7.7619663648124186</v>
      </c>
      <c r="AE125" s="275">
        <f>3/0.773</f>
        <v>3.8809831824062093</v>
      </c>
      <c r="AF125" s="275"/>
      <c r="AG125" s="257"/>
      <c r="AH125" s="221">
        <v>3.8</v>
      </c>
      <c r="AI125" s="214"/>
      <c r="AJ125" s="215" t="s">
        <v>1703</v>
      </c>
      <c r="AK125" s="215" t="s">
        <v>1704</v>
      </c>
      <c r="AL125" s="314"/>
      <c r="AM125" s="211"/>
      <c r="AN125" s="479"/>
      <c r="AO125" s="208"/>
      <c r="AP125" s="216"/>
      <c r="AQ125" s="270"/>
      <c r="AR125" s="203"/>
    </row>
    <row r="126" spans="1:44" s="311" customFormat="1" ht="65.25" customHeight="1" x14ac:dyDescent="0.2">
      <c r="A126" s="21" t="s">
        <v>1695</v>
      </c>
      <c r="B126" s="22" t="s">
        <v>1706</v>
      </c>
      <c r="C126" s="22"/>
      <c r="D126" s="56" t="s">
        <v>1705</v>
      </c>
      <c r="E126" s="24" t="s">
        <v>106</v>
      </c>
      <c r="F126" s="26" t="s">
        <v>108</v>
      </c>
      <c r="G126" s="24" t="s">
        <v>55</v>
      </c>
      <c r="H126" s="24"/>
      <c r="I126" s="255" t="s">
        <v>1710</v>
      </c>
      <c r="J126" s="255" t="s">
        <v>1712</v>
      </c>
      <c r="K126" s="267" t="s">
        <v>1707</v>
      </c>
      <c r="L126" s="28" t="s">
        <v>436</v>
      </c>
      <c r="M126" s="45" t="s">
        <v>1650</v>
      </c>
      <c r="N126" s="45" t="s">
        <v>1713</v>
      </c>
      <c r="O126" s="27">
        <v>42370</v>
      </c>
      <c r="P126" s="340">
        <v>1</v>
      </c>
      <c r="Q126" s="27">
        <v>42333</v>
      </c>
      <c r="R126" s="255" t="s">
        <v>288</v>
      </c>
      <c r="S126" s="489" t="s">
        <v>1708</v>
      </c>
      <c r="T126" s="223"/>
      <c r="U126" s="45"/>
      <c r="V126" s="91"/>
      <c r="W126" s="323"/>
      <c r="X126" s="139">
        <f t="shared" si="9"/>
        <v>0.5</v>
      </c>
      <c r="Y126" s="255"/>
      <c r="Z126" s="140"/>
      <c r="AA126" s="74"/>
      <c r="AB126" s="25"/>
      <c r="AC126" s="139">
        <f t="shared" si="10"/>
        <v>0.5</v>
      </c>
      <c r="AD126" s="139">
        <v>0.5</v>
      </c>
      <c r="AE126" s="76"/>
      <c r="AF126" s="76"/>
      <c r="AG126" s="344"/>
      <c r="AH126" s="69">
        <f>6+4+1.228</f>
        <v>11.228</v>
      </c>
      <c r="AI126" s="58"/>
      <c r="AJ126" s="62"/>
      <c r="AK126" s="62" t="s">
        <v>1711</v>
      </c>
      <c r="AL126" s="310"/>
      <c r="AM126" s="38"/>
      <c r="AN126" s="117"/>
      <c r="AO126" s="82"/>
      <c r="AP126" s="41"/>
      <c r="AQ126" s="255" t="s">
        <v>1709</v>
      </c>
      <c r="AR126" s="24"/>
    </row>
    <row r="127" spans="1:44" s="311" customFormat="1" ht="65.25" customHeight="1" x14ac:dyDescent="0.2">
      <c r="A127" s="21" t="s">
        <v>1714</v>
      </c>
      <c r="B127" s="22" t="s">
        <v>1717</v>
      </c>
      <c r="C127" s="22"/>
      <c r="D127" s="56" t="s">
        <v>1716</v>
      </c>
      <c r="E127" s="366" t="s">
        <v>112</v>
      </c>
      <c r="F127" s="367" t="s">
        <v>115</v>
      </c>
      <c r="G127" s="24" t="s">
        <v>1516</v>
      </c>
      <c r="H127" s="24"/>
      <c r="I127" s="255" t="s">
        <v>1721</v>
      </c>
      <c r="J127" s="255" t="s">
        <v>1720</v>
      </c>
      <c r="K127" s="267" t="s">
        <v>1718</v>
      </c>
      <c r="L127" s="22" t="s">
        <v>1435</v>
      </c>
      <c r="M127" s="22" t="s">
        <v>27</v>
      </c>
      <c r="N127" s="91" t="s">
        <v>1758</v>
      </c>
      <c r="O127" s="41">
        <v>40544</v>
      </c>
      <c r="P127" s="340">
        <v>30</v>
      </c>
      <c r="Q127" s="27">
        <v>42341</v>
      </c>
      <c r="R127" s="255" t="s">
        <v>312</v>
      </c>
      <c r="S127" s="489" t="s">
        <v>1719</v>
      </c>
      <c r="T127" s="223"/>
      <c r="U127" s="45"/>
      <c r="V127" s="91"/>
      <c r="W127" s="323"/>
      <c r="X127" s="139">
        <f t="shared" si="9"/>
        <v>0</v>
      </c>
      <c r="Y127" s="255"/>
      <c r="Z127" s="140"/>
      <c r="AA127" s="74"/>
      <c r="AB127" s="25"/>
      <c r="AC127" s="139">
        <f t="shared" si="10"/>
        <v>0</v>
      </c>
      <c r="AD127" s="139"/>
      <c r="AE127" s="76"/>
      <c r="AF127" s="76"/>
      <c r="AG127" s="344"/>
      <c r="AH127" s="69">
        <f>113.241/25</f>
        <v>4.5296399999999997</v>
      </c>
      <c r="AI127" s="58"/>
      <c r="AJ127" s="62"/>
      <c r="AK127" s="62"/>
      <c r="AL127" s="310" t="s">
        <v>1314</v>
      </c>
      <c r="AM127" s="38"/>
      <c r="AN127" s="117"/>
      <c r="AO127" s="82"/>
      <c r="AP127" s="41"/>
      <c r="AQ127" s="255"/>
      <c r="AR127" s="24"/>
    </row>
    <row r="128" spans="1:44" s="311" customFormat="1" ht="65.25" customHeight="1" x14ac:dyDescent="0.2">
      <c r="A128" s="21" t="s">
        <v>1715</v>
      </c>
      <c r="B128" s="22" t="s">
        <v>1722</v>
      </c>
      <c r="C128" s="201" t="s">
        <v>1429</v>
      </c>
      <c r="D128" s="56" t="s">
        <v>1428</v>
      </c>
      <c r="E128" s="376" t="s">
        <v>105</v>
      </c>
      <c r="F128" s="377" t="s">
        <v>111</v>
      </c>
      <c r="G128" s="24" t="s">
        <v>147</v>
      </c>
      <c r="H128" s="24"/>
      <c r="I128" s="255" t="s">
        <v>1433</v>
      </c>
      <c r="J128" s="255" t="s">
        <v>1724</v>
      </c>
      <c r="K128" s="267" t="s">
        <v>1430</v>
      </c>
      <c r="L128" s="22" t="s">
        <v>1123</v>
      </c>
      <c r="M128" s="22" t="s">
        <v>1408</v>
      </c>
      <c r="N128" s="91" t="s">
        <v>94</v>
      </c>
      <c r="O128" s="41">
        <v>42339</v>
      </c>
      <c r="P128" s="340">
        <v>15</v>
      </c>
      <c r="Q128" s="27">
        <v>42352</v>
      </c>
      <c r="R128" s="255" t="s">
        <v>290</v>
      </c>
      <c r="S128" s="489" t="s">
        <v>1723</v>
      </c>
      <c r="T128" s="223"/>
      <c r="U128" s="45"/>
      <c r="V128" s="91"/>
      <c r="W128" s="323"/>
      <c r="X128" s="139">
        <f t="shared" si="9"/>
        <v>23.132000000000001</v>
      </c>
      <c r="Y128" s="255" t="s">
        <v>1725</v>
      </c>
      <c r="Z128" s="140">
        <f>23.132-11.43</f>
        <v>11.702000000000002</v>
      </c>
      <c r="AA128" s="74"/>
      <c r="AB128" s="25"/>
      <c r="AC128" s="139">
        <f t="shared" si="10"/>
        <v>11.43</v>
      </c>
      <c r="AD128" s="139">
        <v>9.8610000000000007</v>
      </c>
      <c r="AE128" s="76"/>
      <c r="AF128" s="76">
        <v>1.569</v>
      </c>
      <c r="AG128" s="344"/>
      <c r="AH128" s="69">
        <v>12</v>
      </c>
      <c r="AI128" s="58"/>
      <c r="AJ128" s="62" t="s">
        <v>1726</v>
      </c>
      <c r="AK128" s="62"/>
      <c r="AL128" s="310"/>
      <c r="AM128" s="38"/>
      <c r="AN128" s="117"/>
      <c r="AO128" s="82"/>
      <c r="AP128" s="41"/>
      <c r="AQ128" s="255"/>
      <c r="AR128" s="24"/>
    </row>
    <row r="129" spans="1:44" s="311" customFormat="1" ht="65.25" customHeight="1" x14ac:dyDescent="0.2">
      <c r="A129" s="200" t="s">
        <v>1729</v>
      </c>
      <c r="B129" s="201" t="s">
        <v>1730</v>
      </c>
      <c r="C129" s="201"/>
      <c r="D129" s="202" t="s">
        <v>1731</v>
      </c>
      <c r="E129" s="253" t="s">
        <v>112</v>
      </c>
      <c r="F129" s="319" t="s">
        <v>115</v>
      </c>
      <c r="G129" s="203" t="s">
        <v>154</v>
      </c>
      <c r="H129" s="203"/>
      <c r="I129" s="270" t="s">
        <v>1736</v>
      </c>
      <c r="J129" s="270" t="s">
        <v>1737</v>
      </c>
      <c r="K129" s="320" t="s">
        <v>1732</v>
      </c>
      <c r="L129" s="201" t="s">
        <v>1123</v>
      </c>
      <c r="M129" s="201" t="s">
        <v>1408</v>
      </c>
      <c r="N129" s="218" t="s">
        <v>1738</v>
      </c>
      <c r="O129" s="216">
        <v>42370</v>
      </c>
      <c r="P129" s="219">
        <v>1</v>
      </c>
      <c r="Q129" s="209">
        <v>42355</v>
      </c>
      <c r="R129" s="270" t="s">
        <v>288</v>
      </c>
      <c r="S129" s="269" t="s">
        <v>1733</v>
      </c>
      <c r="T129" s="224"/>
      <c r="U129" s="206"/>
      <c r="V129" s="218" t="s">
        <v>1349</v>
      </c>
      <c r="W129" s="321">
        <v>7.0000000000000007E-2</v>
      </c>
      <c r="X129" s="276">
        <f t="shared" si="9"/>
        <v>7.0000000000000007E-2</v>
      </c>
      <c r="Y129" s="270"/>
      <c r="Z129" s="302">
        <v>0</v>
      </c>
      <c r="AA129" s="212"/>
      <c r="AB129" s="213"/>
      <c r="AC129" s="276">
        <f t="shared" si="10"/>
        <v>7.0000000000000007E-2</v>
      </c>
      <c r="AD129" s="276">
        <v>7.0000000000000007E-2</v>
      </c>
      <c r="AE129" s="275"/>
      <c r="AF129" s="275"/>
      <c r="AG129" s="257"/>
      <c r="AH129" s="221"/>
      <c r="AI129" s="214"/>
      <c r="AJ129" s="215"/>
      <c r="AK129" s="215" t="s">
        <v>1735</v>
      </c>
      <c r="AL129" s="314"/>
      <c r="AM129" s="211"/>
      <c r="AN129" s="479"/>
      <c r="AO129" s="208"/>
      <c r="AP129" s="216"/>
      <c r="AQ129" s="270"/>
      <c r="AR129" s="203" t="s">
        <v>1734</v>
      </c>
    </row>
    <row r="130" spans="1:44" s="311" customFormat="1" ht="65.25" customHeight="1" x14ac:dyDescent="0.2">
      <c r="A130" s="21" t="s">
        <v>1739</v>
      </c>
      <c r="B130" s="22" t="s">
        <v>1740</v>
      </c>
      <c r="C130" s="22"/>
      <c r="D130" s="56" t="s">
        <v>1741</v>
      </c>
      <c r="E130" s="24" t="s">
        <v>109</v>
      </c>
      <c r="F130" s="26" t="s">
        <v>110</v>
      </c>
      <c r="G130" s="90" t="s">
        <v>62</v>
      </c>
      <c r="H130" s="24"/>
      <c r="I130" s="255" t="s">
        <v>1743</v>
      </c>
      <c r="J130" s="255" t="s">
        <v>1744</v>
      </c>
      <c r="K130" s="267" t="s">
        <v>1742</v>
      </c>
      <c r="L130" s="22" t="s">
        <v>1748</v>
      </c>
      <c r="M130" s="22" t="s">
        <v>298</v>
      </c>
      <c r="N130" s="91" t="s">
        <v>94</v>
      </c>
      <c r="O130" s="41">
        <v>42370</v>
      </c>
      <c r="P130" s="340">
        <v>6</v>
      </c>
      <c r="Q130" s="27">
        <v>42383</v>
      </c>
      <c r="R130" s="255" t="s">
        <v>290</v>
      </c>
      <c r="S130" s="385"/>
      <c r="T130" s="223"/>
      <c r="U130" s="45"/>
      <c r="V130" s="91"/>
      <c r="W130" s="323"/>
      <c r="X130" s="139">
        <f t="shared" si="9"/>
        <v>16.429494999999999</v>
      </c>
      <c r="Y130" s="255" t="s">
        <v>1745</v>
      </c>
      <c r="Z130" s="140">
        <f>16.429495-AC130</f>
        <v>9.9611889999999992</v>
      </c>
      <c r="AA130" s="74"/>
      <c r="AB130" s="25"/>
      <c r="AC130" s="139">
        <f t="shared" si="10"/>
        <v>6.4683060000000001</v>
      </c>
      <c r="AD130" s="139">
        <v>3.4928849999999998</v>
      </c>
      <c r="AE130" s="76">
        <v>2.9754209999999999</v>
      </c>
      <c r="AF130" s="76"/>
      <c r="AG130" s="344"/>
      <c r="AH130" s="80">
        <v>3.5999999999999997E-2</v>
      </c>
      <c r="AI130" s="58"/>
      <c r="AJ130" s="62"/>
      <c r="AK130" s="62" t="s">
        <v>1746</v>
      </c>
      <c r="AL130" s="310"/>
      <c r="AM130" s="38"/>
      <c r="AN130" s="117"/>
      <c r="AO130" s="82"/>
      <c r="AP130" s="41"/>
      <c r="AQ130" s="255" t="s">
        <v>1747</v>
      </c>
      <c r="AR130" s="24"/>
    </row>
    <row r="131" spans="1:44" s="311" customFormat="1" ht="65.25" customHeight="1" x14ac:dyDescent="0.2">
      <c r="A131" s="200" t="s">
        <v>1750</v>
      </c>
      <c r="B131" s="201" t="s">
        <v>1751</v>
      </c>
      <c r="C131" s="201" t="s">
        <v>1760</v>
      </c>
      <c r="D131" s="202" t="s">
        <v>1752</v>
      </c>
      <c r="E131" s="225" t="s">
        <v>112</v>
      </c>
      <c r="F131" s="226" t="s">
        <v>115</v>
      </c>
      <c r="G131" s="217" t="s">
        <v>1749</v>
      </c>
      <c r="H131" s="203"/>
      <c r="I131" s="270" t="s">
        <v>1757</v>
      </c>
      <c r="J131" s="270" t="s">
        <v>1756</v>
      </c>
      <c r="K131" s="320" t="s">
        <v>1753</v>
      </c>
      <c r="L131" s="201" t="s">
        <v>1435</v>
      </c>
      <c r="M131" s="201" t="s">
        <v>27</v>
      </c>
      <c r="N131" s="218" t="s">
        <v>1758</v>
      </c>
      <c r="O131" s="216">
        <v>42430</v>
      </c>
      <c r="P131" s="219">
        <v>0.5</v>
      </c>
      <c r="Q131" s="209">
        <v>42394</v>
      </c>
      <c r="R131" s="270" t="s">
        <v>288</v>
      </c>
      <c r="S131" s="269" t="s">
        <v>1755</v>
      </c>
      <c r="T131" s="224"/>
      <c r="U131" s="206"/>
      <c r="V131" s="269" t="s">
        <v>1762</v>
      </c>
      <c r="W131" s="321">
        <v>8.1000000000000003E-2</v>
      </c>
      <c r="X131" s="276">
        <f t="shared" si="9"/>
        <v>7.4999999999999997E-2</v>
      </c>
      <c r="Y131" s="270"/>
      <c r="Z131" s="302"/>
      <c r="AA131" s="212"/>
      <c r="AB131" s="213"/>
      <c r="AC131" s="276">
        <f t="shared" si="10"/>
        <v>7.4999999999999997E-2</v>
      </c>
      <c r="AD131" s="276">
        <v>7.4999999999999997E-2</v>
      </c>
      <c r="AE131" s="275"/>
      <c r="AF131" s="275"/>
      <c r="AG131" s="257"/>
      <c r="AH131" s="387"/>
      <c r="AI131" s="214"/>
      <c r="AJ131" s="215" t="s">
        <v>1754</v>
      </c>
      <c r="AK131" s="215"/>
      <c r="AL131" s="314"/>
      <c r="AM131" s="211"/>
      <c r="AN131" s="479"/>
      <c r="AO131" s="208"/>
      <c r="AP131" s="216"/>
      <c r="AQ131" s="270"/>
      <c r="AR131" s="203"/>
    </row>
    <row r="132" spans="1:44" s="311" customFormat="1" ht="65.25" customHeight="1" x14ac:dyDescent="0.2">
      <c r="A132" s="200" t="s">
        <v>1759</v>
      </c>
      <c r="B132" s="201" t="s">
        <v>1760</v>
      </c>
      <c r="C132" s="201" t="s">
        <v>1751</v>
      </c>
      <c r="D132" s="202" t="s">
        <v>1752</v>
      </c>
      <c r="E132" s="225" t="s">
        <v>112</v>
      </c>
      <c r="F132" s="226" t="s">
        <v>115</v>
      </c>
      <c r="G132" s="217" t="s">
        <v>1749</v>
      </c>
      <c r="H132" s="203"/>
      <c r="I132" s="270" t="s">
        <v>1757</v>
      </c>
      <c r="J132" s="270" t="s">
        <v>1756</v>
      </c>
      <c r="K132" s="320" t="s">
        <v>1753</v>
      </c>
      <c r="L132" s="201" t="s">
        <v>1435</v>
      </c>
      <c r="M132" s="201" t="s">
        <v>27</v>
      </c>
      <c r="N132" s="218" t="s">
        <v>1758</v>
      </c>
      <c r="O132" s="216">
        <v>42430</v>
      </c>
      <c r="P132" s="219">
        <v>5</v>
      </c>
      <c r="Q132" s="209">
        <v>42394</v>
      </c>
      <c r="R132" s="270" t="s">
        <v>290</v>
      </c>
      <c r="S132" s="269" t="s">
        <v>1761</v>
      </c>
      <c r="T132" s="224"/>
      <c r="U132" s="206"/>
      <c r="V132" s="218" t="s">
        <v>734</v>
      </c>
      <c r="W132" s="321">
        <v>1</v>
      </c>
      <c r="X132" s="276">
        <f t="shared" si="9"/>
        <v>5.8</v>
      </c>
      <c r="Y132" s="270"/>
      <c r="Z132" s="302"/>
      <c r="AA132" s="212"/>
      <c r="AB132" s="213"/>
      <c r="AC132" s="276">
        <f t="shared" si="10"/>
        <v>5.8</v>
      </c>
      <c r="AD132" s="276">
        <v>4.5</v>
      </c>
      <c r="AE132" s="275"/>
      <c r="AF132" s="275">
        <v>1.3</v>
      </c>
      <c r="AG132" s="257"/>
      <c r="AH132" s="387">
        <v>1.35E-2</v>
      </c>
      <c r="AI132" s="214"/>
      <c r="AJ132" s="215" t="s">
        <v>1754</v>
      </c>
      <c r="AK132" s="215"/>
      <c r="AL132" s="314"/>
      <c r="AM132" s="211"/>
      <c r="AN132" s="479"/>
      <c r="AO132" s="208"/>
      <c r="AP132" s="216"/>
      <c r="AQ132" s="270"/>
      <c r="AR132" s="203"/>
    </row>
    <row r="133" spans="1:44" s="311" customFormat="1" ht="65.25" customHeight="1" x14ac:dyDescent="0.2">
      <c r="A133" s="21" t="s">
        <v>1764</v>
      </c>
      <c r="B133" s="22" t="s">
        <v>1787</v>
      </c>
      <c r="C133" s="22"/>
      <c r="D133" s="56" t="s">
        <v>1786</v>
      </c>
      <c r="E133" s="24" t="s">
        <v>109</v>
      </c>
      <c r="F133" s="26" t="s">
        <v>110</v>
      </c>
      <c r="G133" s="90" t="s">
        <v>62</v>
      </c>
      <c r="H133" s="24"/>
      <c r="I133" s="255" t="s">
        <v>1790</v>
      </c>
      <c r="J133" s="255" t="s">
        <v>1789</v>
      </c>
      <c r="K133" s="267" t="s">
        <v>1788</v>
      </c>
      <c r="L133" s="22" t="s">
        <v>1437</v>
      </c>
      <c r="M133" s="22" t="s">
        <v>1684</v>
      </c>
      <c r="N133" s="91" t="s">
        <v>842</v>
      </c>
      <c r="O133" s="41">
        <v>42370</v>
      </c>
      <c r="P133" s="340">
        <v>5</v>
      </c>
      <c r="Q133" s="27">
        <v>42415</v>
      </c>
      <c r="R133" s="255" t="s">
        <v>290</v>
      </c>
      <c r="S133" s="489" t="s">
        <v>1792</v>
      </c>
      <c r="T133" s="223"/>
      <c r="U133" s="45"/>
      <c r="V133" s="91"/>
      <c r="W133" s="323"/>
      <c r="X133" s="139">
        <f t="shared" si="9"/>
        <v>24.450194</v>
      </c>
      <c r="Y133" s="255"/>
      <c r="Z133" s="140"/>
      <c r="AA133" s="74"/>
      <c r="AB133" s="76"/>
      <c r="AC133" s="139">
        <f t="shared" si="10"/>
        <v>24.450194</v>
      </c>
      <c r="AD133" s="139">
        <f>24.450194-AE133-AF133</f>
        <v>20.957309135834411</v>
      </c>
      <c r="AE133" s="76">
        <f>1.8/0.773</f>
        <v>2.3285899094437257</v>
      </c>
      <c r="AF133" s="76">
        <f>0.9/0.773</f>
        <v>1.1642949547218628</v>
      </c>
      <c r="AG133" s="344"/>
      <c r="AH133" s="80">
        <v>1.2E-2</v>
      </c>
      <c r="AI133" s="58"/>
      <c r="AJ133" s="62"/>
      <c r="AK133" s="62" t="s">
        <v>1791</v>
      </c>
      <c r="AL133" s="310"/>
      <c r="AM133" s="38"/>
      <c r="AN133" s="117"/>
      <c r="AO133" s="82"/>
      <c r="AP133" s="41"/>
      <c r="AQ133" s="255"/>
      <c r="AR133" s="24"/>
    </row>
    <row r="134" spans="1:44" s="311" customFormat="1" ht="65.25" customHeight="1" x14ac:dyDescent="0.2">
      <c r="A134" s="200" t="s">
        <v>1775</v>
      </c>
      <c r="B134" s="201" t="s">
        <v>1766</v>
      </c>
      <c r="C134" s="201"/>
      <c r="D134" s="202" t="s">
        <v>1765</v>
      </c>
      <c r="E134" s="225" t="s">
        <v>106</v>
      </c>
      <c r="F134" s="226" t="s">
        <v>108</v>
      </c>
      <c r="G134" s="313" t="s">
        <v>77</v>
      </c>
      <c r="H134" s="203"/>
      <c r="I134" s="270" t="s">
        <v>1770</v>
      </c>
      <c r="J134" s="270" t="s">
        <v>2299</v>
      </c>
      <c r="K134" s="320" t="s">
        <v>1769</v>
      </c>
      <c r="L134" s="201" t="s">
        <v>328</v>
      </c>
      <c r="M134" s="201" t="s">
        <v>1771</v>
      </c>
      <c r="N134" s="218" t="s">
        <v>1188</v>
      </c>
      <c r="O134" s="216">
        <v>42430</v>
      </c>
      <c r="P134" s="219">
        <v>3</v>
      </c>
      <c r="Q134" s="209">
        <v>42416</v>
      </c>
      <c r="R134" s="270" t="s">
        <v>290</v>
      </c>
      <c r="S134" s="269" t="s">
        <v>1773</v>
      </c>
      <c r="T134" s="224" t="s">
        <v>840</v>
      </c>
      <c r="U134" s="206"/>
      <c r="V134" s="218" t="s">
        <v>662</v>
      </c>
      <c r="W134" s="219">
        <f>9/0.84</f>
        <v>10.714285714285715</v>
      </c>
      <c r="X134" s="276">
        <f t="shared" si="9"/>
        <v>6202</v>
      </c>
      <c r="Y134" s="270" t="s">
        <v>1767</v>
      </c>
      <c r="Z134" s="302">
        <v>6095.5</v>
      </c>
      <c r="AA134" s="212" t="s">
        <v>1768</v>
      </c>
      <c r="AB134" s="213"/>
      <c r="AC134" s="276">
        <f t="shared" si="10"/>
        <v>106.5</v>
      </c>
      <c r="AD134" s="276">
        <v>95</v>
      </c>
      <c r="AE134" s="275">
        <v>11.5</v>
      </c>
      <c r="AF134" s="275"/>
      <c r="AG134" s="257"/>
      <c r="AH134" s="387">
        <f>(2.03-1.1)/2/3</f>
        <v>0.15499999999999994</v>
      </c>
      <c r="AI134" s="214"/>
      <c r="AJ134" s="215"/>
      <c r="AK134" s="215" t="s">
        <v>1772</v>
      </c>
      <c r="AL134" s="314"/>
      <c r="AM134" s="211"/>
      <c r="AN134" s="479"/>
      <c r="AO134" s="208"/>
      <c r="AP134" s="216"/>
      <c r="AQ134" s="270"/>
      <c r="AR134" s="203"/>
    </row>
    <row r="135" spans="1:44" s="311" customFormat="1" ht="30" customHeight="1" x14ac:dyDescent="0.2">
      <c r="A135" s="21" t="s">
        <v>1785</v>
      </c>
      <c r="B135" s="22" t="s">
        <v>1777</v>
      </c>
      <c r="C135" s="22"/>
      <c r="D135" s="56" t="s">
        <v>1778</v>
      </c>
      <c r="E135" s="388" t="s">
        <v>109</v>
      </c>
      <c r="F135" s="389" t="s">
        <v>110</v>
      </c>
      <c r="G135" s="390" t="s">
        <v>1776</v>
      </c>
      <c r="H135" s="24"/>
      <c r="I135" s="255" t="s">
        <v>1783</v>
      </c>
      <c r="J135" s="255" t="s">
        <v>1782</v>
      </c>
      <c r="K135" s="267" t="s">
        <v>1779</v>
      </c>
      <c r="L135" s="22" t="s">
        <v>1123</v>
      </c>
      <c r="M135" s="22" t="s">
        <v>94</v>
      </c>
      <c r="N135" s="91" t="s">
        <v>1784</v>
      </c>
      <c r="O135" s="41">
        <v>42430</v>
      </c>
      <c r="P135" s="340">
        <v>15</v>
      </c>
      <c r="Q135" s="27">
        <v>42417</v>
      </c>
      <c r="R135" s="255" t="s">
        <v>312</v>
      </c>
      <c r="S135" s="489" t="s">
        <v>1780</v>
      </c>
      <c r="T135" s="223"/>
      <c r="U135" s="45"/>
      <c r="V135" s="91"/>
      <c r="W135" s="340"/>
      <c r="X135" s="139">
        <f t="shared" si="9"/>
        <v>0</v>
      </c>
      <c r="Y135" s="255"/>
      <c r="Z135" s="140"/>
      <c r="AA135" s="74"/>
      <c r="AB135" s="25"/>
      <c r="AC135" s="139">
        <f t="shared" si="10"/>
        <v>0</v>
      </c>
      <c r="AD135" s="139"/>
      <c r="AE135" s="76"/>
      <c r="AF135" s="76"/>
      <c r="AG135" s="344"/>
      <c r="AH135" s="80">
        <v>10.8</v>
      </c>
      <c r="AI135" s="58"/>
      <c r="AJ135" s="62"/>
      <c r="AK135" s="62"/>
      <c r="AL135" s="310"/>
      <c r="AM135" s="38"/>
      <c r="AN135" s="117"/>
      <c r="AO135" s="82"/>
      <c r="AP135" s="41"/>
      <c r="AQ135" s="255" t="s">
        <v>1781</v>
      </c>
      <c r="AR135" s="24"/>
    </row>
    <row r="136" spans="1:44" s="311" customFormat="1" ht="65.25" customHeight="1" x14ac:dyDescent="0.2">
      <c r="A136" s="21" t="s">
        <v>1799</v>
      </c>
      <c r="B136" s="22" t="s">
        <v>1801</v>
      </c>
      <c r="C136" s="201" t="s">
        <v>1730</v>
      </c>
      <c r="D136" s="56" t="s">
        <v>1800</v>
      </c>
      <c r="E136" s="234" t="s">
        <v>112</v>
      </c>
      <c r="F136" s="322" t="s">
        <v>115</v>
      </c>
      <c r="G136" s="390" t="s">
        <v>154</v>
      </c>
      <c r="H136" s="24"/>
      <c r="I136" s="255" t="s">
        <v>1736</v>
      </c>
      <c r="J136" s="255" t="s">
        <v>1737</v>
      </c>
      <c r="K136" s="267" t="s">
        <v>1732</v>
      </c>
      <c r="L136" s="22" t="s">
        <v>1123</v>
      </c>
      <c r="M136" s="22" t="s">
        <v>94</v>
      </c>
      <c r="N136" s="91" t="s">
        <v>1784</v>
      </c>
      <c r="O136" s="41">
        <v>42430</v>
      </c>
      <c r="P136" s="340">
        <v>5</v>
      </c>
      <c r="Q136" s="27">
        <v>42451</v>
      </c>
      <c r="R136" s="255" t="s">
        <v>290</v>
      </c>
      <c r="S136" s="489"/>
      <c r="T136" s="223"/>
      <c r="U136" s="45"/>
      <c r="V136" s="91"/>
      <c r="W136" s="340"/>
      <c r="X136" s="139">
        <f t="shared" si="9"/>
        <v>2.9225379999999999</v>
      </c>
      <c r="Y136" s="255"/>
      <c r="Z136" s="140">
        <f>2.922538-AC136</f>
        <v>0.42668799999999996</v>
      </c>
      <c r="AA136" s="74"/>
      <c r="AB136" s="25"/>
      <c r="AC136" s="139">
        <f t="shared" si="10"/>
        <v>2.4958499999999999</v>
      </c>
      <c r="AD136" s="139">
        <v>2.4958499999999999</v>
      </c>
      <c r="AE136" s="76"/>
      <c r="AF136" s="76"/>
      <c r="AG136" s="344"/>
      <c r="AH136" s="80"/>
      <c r="AI136" s="58"/>
      <c r="AJ136" s="62" t="s">
        <v>1726</v>
      </c>
      <c r="AK136" s="62"/>
      <c r="AL136" s="310"/>
      <c r="AM136" s="38"/>
      <c r="AN136" s="117"/>
      <c r="AO136" s="82"/>
      <c r="AP136" s="41"/>
      <c r="AQ136" s="255"/>
      <c r="AR136" s="24"/>
    </row>
    <row r="137" spans="1:44" s="311" customFormat="1" ht="65.25" customHeight="1" x14ac:dyDescent="0.2">
      <c r="A137" s="21" t="s">
        <v>1802</v>
      </c>
      <c r="B137" s="22" t="s">
        <v>1803</v>
      </c>
      <c r="C137" s="22"/>
      <c r="D137" s="56" t="s">
        <v>1804</v>
      </c>
      <c r="E137" s="234" t="s">
        <v>105</v>
      </c>
      <c r="F137" s="322" t="s">
        <v>111</v>
      </c>
      <c r="G137" s="397" t="s">
        <v>81</v>
      </c>
      <c r="H137" s="24"/>
      <c r="I137" s="255" t="s">
        <v>1806</v>
      </c>
      <c r="J137" s="255" t="s">
        <v>1807</v>
      </c>
      <c r="K137" s="267" t="s">
        <v>1805</v>
      </c>
      <c r="L137" s="22" t="s">
        <v>16</v>
      </c>
      <c r="M137" s="22" t="s">
        <v>16</v>
      </c>
      <c r="N137" s="91" t="s">
        <v>16</v>
      </c>
      <c r="O137" s="41">
        <v>42461</v>
      </c>
      <c r="P137" s="340">
        <v>0.5</v>
      </c>
      <c r="Q137" s="27">
        <v>42467</v>
      </c>
      <c r="R137" s="255" t="s">
        <v>288</v>
      </c>
      <c r="S137" s="396" t="s">
        <v>1808</v>
      </c>
      <c r="T137" s="223"/>
      <c r="U137" s="45"/>
      <c r="V137" s="91"/>
      <c r="W137" s="340"/>
      <c r="X137" s="139">
        <f t="shared" si="9"/>
        <v>0.15</v>
      </c>
      <c r="Y137" s="255"/>
      <c r="Z137" s="140"/>
      <c r="AA137" s="74"/>
      <c r="AB137" s="25"/>
      <c r="AC137" s="139">
        <f t="shared" si="10"/>
        <v>0.15</v>
      </c>
      <c r="AD137" s="139">
        <v>0.15</v>
      </c>
      <c r="AE137" s="76"/>
      <c r="AF137" s="76"/>
      <c r="AG137" s="344"/>
      <c r="AH137" s="80"/>
      <c r="AI137" s="58"/>
      <c r="AJ137" s="62"/>
      <c r="AK137" s="62"/>
      <c r="AL137" s="310"/>
      <c r="AM137" s="38"/>
      <c r="AN137" s="117"/>
      <c r="AO137" s="82"/>
      <c r="AP137" s="41"/>
      <c r="AQ137" s="255"/>
      <c r="AR137" s="24"/>
    </row>
    <row r="138" spans="1:44" s="311" customFormat="1" ht="65.25" customHeight="1" x14ac:dyDescent="0.2">
      <c r="A138" s="21" t="s">
        <v>1822</v>
      </c>
      <c r="B138" s="22" t="s">
        <v>1811</v>
      </c>
      <c r="C138" s="22"/>
      <c r="D138" s="56" t="s">
        <v>1818</v>
      </c>
      <c r="E138" s="234" t="s">
        <v>105</v>
      </c>
      <c r="F138" s="322" t="s">
        <v>114</v>
      </c>
      <c r="G138" s="397" t="s">
        <v>1821</v>
      </c>
      <c r="H138" s="24"/>
      <c r="I138" s="255" t="s">
        <v>1830</v>
      </c>
      <c r="J138" s="255" t="s">
        <v>1829</v>
      </c>
      <c r="K138" s="267" t="s">
        <v>1827</v>
      </c>
      <c r="L138" s="22" t="s">
        <v>1123</v>
      </c>
      <c r="M138" s="22" t="s">
        <v>94</v>
      </c>
      <c r="N138" s="91" t="s">
        <v>1831</v>
      </c>
      <c r="O138" s="41">
        <v>42552</v>
      </c>
      <c r="P138" s="340">
        <v>0.5</v>
      </c>
      <c r="Q138" s="27">
        <v>42501</v>
      </c>
      <c r="R138" s="255" t="s">
        <v>288</v>
      </c>
      <c r="S138" s="489" t="s">
        <v>1828</v>
      </c>
      <c r="T138" s="223"/>
      <c r="U138" s="45"/>
      <c r="V138" s="91"/>
      <c r="W138" s="340"/>
      <c r="X138" s="139">
        <f t="shared" si="9"/>
        <v>0.5</v>
      </c>
      <c r="Y138" s="255"/>
      <c r="Z138" s="140"/>
      <c r="AA138" s="74"/>
      <c r="AB138" s="25"/>
      <c r="AC138" s="139">
        <f t="shared" si="10"/>
        <v>0.5</v>
      </c>
      <c r="AD138" s="139"/>
      <c r="AE138" s="76">
        <v>0.35</v>
      </c>
      <c r="AF138" s="76">
        <v>0.15</v>
      </c>
      <c r="AG138" s="344"/>
      <c r="AH138" s="80">
        <v>2.8879999999999999</v>
      </c>
      <c r="AI138" s="58"/>
      <c r="AJ138" s="62"/>
      <c r="AK138" s="62"/>
      <c r="AL138" s="310"/>
      <c r="AM138" s="38"/>
      <c r="AN138" s="117"/>
      <c r="AO138" s="82"/>
      <c r="AP138" s="41"/>
      <c r="AQ138" s="255"/>
      <c r="AR138" s="24"/>
    </row>
    <row r="139" spans="1:44" s="311" customFormat="1" ht="65.25" customHeight="1" x14ac:dyDescent="0.2">
      <c r="A139" s="21" t="s">
        <v>1823</v>
      </c>
      <c r="B139" s="22" t="s">
        <v>1812</v>
      </c>
      <c r="C139" s="22"/>
      <c r="D139" s="56" t="s">
        <v>1817</v>
      </c>
      <c r="E139" s="234" t="s">
        <v>105</v>
      </c>
      <c r="F139" s="322" t="s">
        <v>114</v>
      </c>
      <c r="G139" s="397" t="s">
        <v>1821</v>
      </c>
      <c r="H139" s="24"/>
      <c r="I139" s="255" t="s">
        <v>1834</v>
      </c>
      <c r="J139" s="255" t="s">
        <v>1832</v>
      </c>
      <c r="K139" s="267" t="s">
        <v>1827</v>
      </c>
      <c r="L139" s="22" t="s">
        <v>608</v>
      </c>
      <c r="M139" s="22" t="s">
        <v>1835</v>
      </c>
      <c r="N139" s="22" t="s">
        <v>976</v>
      </c>
      <c r="O139" s="41">
        <v>42552</v>
      </c>
      <c r="P139" s="340">
        <v>0.5</v>
      </c>
      <c r="Q139" s="27">
        <v>42501</v>
      </c>
      <c r="R139" s="255" t="s">
        <v>288</v>
      </c>
      <c r="S139" s="398" t="s">
        <v>1833</v>
      </c>
      <c r="T139" s="223"/>
      <c r="U139" s="45"/>
      <c r="V139" s="91"/>
      <c r="W139" s="340"/>
      <c r="X139" s="139">
        <f t="shared" si="9"/>
        <v>0.30000000000000004</v>
      </c>
      <c r="Y139" s="255"/>
      <c r="Z139" s="140"/>
      <c r="AA139" s="74"/>
      <c r="AB139" s="25"/>
      <c r="AC139" s="139">
        <f t="shared" si="10"/>
        <v>0.30000000000000004</v>
      </c>
      <c r="AD139" s="139"/>
      <c r="AE139" s="76">
        <v>0.2</v>
      </c>
      <c r="AF139" s="76">
        <v>0.1</v>
      </c>
      <c r="AG139" s="344"/>
      <c r="AH139" s="80"/>
      <c r="AI139" s="58"/>
      <c r="AJ139" s="62"/>
      <c r="AK139" s="62"/>
      <c r="AL139" s="310"/>
      <c r="AM139" s="38"/>
      <c r="AN139" s="117"/>
      <c r="AO139" s="82"/>
      <c r="AP139" s="41"/>
      <c r="AQ139" s="255"/>
      <c r="AR139" s="24"/>
    </row>
    <row r="140" spans="1:44" s="311" customFormat="1" ht="65.25" customHeight="1" x14ac:dyDescent="0.2">
      <c r="A140" s="200" t="s">
        <v>1824</v>
      </c>
      <c r="B140" s="201" t="s">
        <v>1813</v>
      </c>
      <c r="C140" s="201"/>
      <c r="D140" s="202" t="s">
        <v>1820</v>
      </c>
      <c r="E140" s="225" t="s">
        <v>112</v>
      </c>
      <c r="F140" s="226" t="s">
        <v>117</v>
      </c>
      <c r="G140" s="405" t="s">
        <v>74</v>
      </c>
      <c r="H140" s="203"/>
      <c r="I140" s="270" t="s">
        <v>1846</v>
      </c>
      <c r="J140" s="270"/>
      <c r="K140" s="320" t="s">
        <v>1844</v>
      </c>
      <c r="L140" s="201" t="s">
        <v>629</v>
      </c>
      <c r="M140" s="201" t="s">
        <v>1848</v>
      </c>
      <c r="N140" s="218" t="s">
        <v>1849</v>
      </c>
      <c r="O140" s="216">
        <v>42552</v>
      </c>
      <c r="P140" s="219">
        <f>40/12</f>
        <v>3.3333333333333335</v>
      </c>
      <c r="Q140" s="209">
        <v>42503</v>
      </c>
      <c r="R140" s="270" t="s">
        <v>288</v>
      </c>
      <c r="S140" s="269" t="s">
        <v>1847</v>
      </c>
      <c r="T140" s="224"/>
      <c r="U140" s="206"/>
      <c r="V140" s="218" t="s">
        <v>663</v>
      </c>
      <c r="W140" s="321">
        <f>X140</f>
        <v>0.1095</v>
      </c>
      <c r="X140" s="276">
        <f t="shared" si="9"/>
        <v>0.1095</v>
      </c>
      <c r="Y140" s="270"/>
      <c r="Z140" s="302"/>
      <c r="AA140" s="212"/>
      <c r="AB140" s="213"/>
      <c r="AC140" s="276">
        <f t="shared" si="10"/>
        <v>0.1095</v>
      </c>
      <c r="AD140" s="276">
        <v>0.1095</v>
      </c>
      <c r="AE140" s="275"/>
      <c r="AF140" s="275"/>
      <c r="AG140" s="257"/>
      <c r="AH140" s="387">
        <v>0.02</v>
      </c>
      <c r="AI140" s="214"/>
      <c r="AJ140" s="215"/>
      <c r="AK140" s="215" t="s">
        <v>1845</v>
      </c>
      <c r="AL140" s="314"/>
      <c r="AM140" s="211"/>
      <c r="AN140" s="479"/>
      <c r="AO140" s="208"/>
      <c r="AP140" s="216"/>
      <c r="AQ140" s="270"/>
      <c r="AR140" s="203"/>
    </row>
    <row r="141" spans="1:44" s="311" customFormat="1" ht="65.25" customHeight="1" x14ac:dyDescent="0.2">
      <c r="A141" s="21" t="s">
        <v>1825</v>
      </c>
      <c r="B141" s="22" t="s">
        <v>1814</v>
      </c>
      <c r="C141" s="22"/>
      <c r="D141" s="56" t="s">
        <v>1819</v>
      </c>
      <c r="E141" s="234" t="s">
        <v>105</v>
      </c>
      <c r="F141" s="322" t="s">
        <v>114</v>
      </c>
      <c r="G141" s="397" t="s">
        <v>1821</v>
      </c>
      <c r="H141" s="24"/>
      <c r="I141" s="255" t="s">
        <v>1840</v>
      </c>
      <c r="J141" s="255" t="s">
        <v>1837</v>
      </c>
      <c r="K141" s="267" t="s">
        <v>1827</v>
      </c>
      <c r="L141" s="22" t="s">
        <v>1420</v>
      </c>
      <c r="M141" s="22" t="s">
        <v>1839</v>
      </c>
      <c r="N141" s="91" t="s">
        <v>1838</v>
      </c>
      <c r="O141" s="41">
        <v>42552</v>
      </c>
      <c r="P141" s="340">
        <v>0.5</v>
      </c>
      <c r="Q141" s="27">
        <v>42501</v>
      </c>
      <c r="R141" s="255" t="s">
        <v>288</v>
      </c>
      <c r="S141" s="489" t="s">
        <v>1836</v>
      </c>
      <c r="T141" s="223"/>
      <c r="U141" s="45"/>
      <c r="V141" s="91"/>
      <c r="W141" s="340"/>
      <c r="X141" s="139">
        <f t="shared" si="9"/>
        <v>0.5</v>
      </c>
      <c r="Y141" s="255"/>
      <c r="Z141" s="140"/>
      <c r="AA141" s="74"/>
      <c r="AB141" s="25"/>
      <c r="AC141" s="139">
        <f t="shared" si="10"/>
        <v>0.5</v>
      </c>
      <c r="AD141" s="139"/>
      <c r="AE141" s="76">
        <v>0.35</v>
      </c>
      <c r="AF141" s="76">
        <v>0.15</v>
      </c>
      <c r="AG141" s="344"/>
      <c r="AH141" s="80"/>
      <c r="AI141" s="58"/>
      <c r="AJ141" s="62"/>
      <c r="AK141" s="62"/>
      <c r="AL141" s="310"/>
      <c r="AM141" s="38"/>
      <c r="AN141" s="117"/>
      <c r="AO141" s="82"/>
      <c r="AP141" s="41"/>
      <c r="AQ141" s="255"/>
      <c r="AR141" s="24"/>
    </row>
    <row r="142" spans="1:44" s="311" customFormat="1" ht="65.25" customHeight="1" x14ac:dyDescent="0.2">
      <c r="A142" s="21" t="s">
        <v>1826</v>
      </c>
      <c r="B142" s="22" t="s">
        <v>1815</v>
      </c>
      <c r="C142" s="22"/>
      <c r="D142" s="56" t="s">
        <v>1816</v>
      </c>
      <c r="E142" s="234" t="s">
        <v>105</v>
      </c>
      <c r="F142" s="322" t="s">
        <v>114</v>
      </c>
      <c r="G142" s="397" t="s">
        <v>1821</v>
      </c>
      <c r="H142" s="24"/>
      <c r="I142" s="255" t="s">
        <v>1843</v>
      </c>
      <c r="J142" s="255"/>
      <c r="K142" s="267" t="s">
        <v>1827</v>
      </c>
      <c r="L142" s="22" t="s">
        <v>1420</v>
      </c>
      <c r="M142" s="22" t="s">
        <v>1121</v>
      </c>
      <c r="N142" s="91" t="s">
        <v>1121</v>
      </c>
      <c r="O142" s="41">
        <v>42552</v>
      </c>
      <c r="P142" s="340">
        <f>10/12</f>
        <v>0.83333333333333337</v>
      </c>
      <c r="Q142" s="27">
        <v>42501</v>
      </c>
      <c r="R142" s="255" t="s">
        <v>288</v>
      </c>
      <c r="S142" s="489" t="s">
        <v>1842</v>
      </c>
      <c r="T142" s="223"/>
      <c r="U142" s="45"/>
      <c r="V142" s="91"/>
      <c r="W142" s="340"/>
      <c r="X142" s="139">
        <f t="shared" si="9"/>
        <v>0.5</v>
      </c>
      <c r="Y142" s="255"/>
      <c r="Z142" s="140"/>
      <c r="AA142" s="74"/>
      <c r="AB142" s="25"/>
      <c r="AC142" s="139">
        <f t="shared" si="10"/>
        <v>0.5</v>
      </c>
      <c r="AD142" s="139"/>
      <c r="AE142" s="76">
        <v>0.35</v>
      </c>
      <c r="AF142" s="76">
        <v>0.15</v>
      </c>
      <c r="AG142" s="344"/>
      <c r="AH142" s="80"/>
      <c r="AI142" s="58"/>
      <c r="AJ142" s="62"/>
      <c r="AK142" s="62"/>
      <c r="AL142" s="310"/>
      <c r="AM142" s="38"/>
      <c r="AN142" s="117"/>
      <c r="AO142" s="82"/>
      <c r="AP142" s="41"/>
      <c r="AQ142" s="255"/>
      <c r="AR142" s="24"/>
    </row>
    <row r="143" spans="1:44" s="311" customFormat="1" ht="65.25" customHeight="1" x14ac:dyDescent="0.2">
      <c r="A143" s="21" t="s">
        <v>1968</v>
      </c>
      <c r="B143" s="22" t="s">
        <v>1970</v>
      </c>
      <c r="C143" s="22"/>
      <c r="D143" s="56" t="s">
        <v>1971</v>
      </c>
      <c r="E143" s="234" t="s">
        <v>112</v>
      </c>
      <c r="F143" s="235" t="s">
        <v>115</v>
      </c>
      <c r="G143" s="397" t="s">
        <v>1419</v>
      </c>
      <c r="H143" s="24" t="s">
        <v>1979</v>
      </c>
      <c r="I143" s="255" t="s">
        <v>1978</v>
      </c>
      <c r="J143" s="255" t="s">
        <v>1977</v>
      </c>
      <c r="K143" s="267" t="s">
        <v>1974</v>
      </c>
      <c r="L143" s="22" t="s">
        <v>328</v>
      </c>
      <c r="M143" s="22" t="s">
        <v>1980</v>
      </c>
      <c r="N143" s="91" t="s">
        <v>1981</v>
      </c>
      <c r="O143" s="41">
        <v>42552</v>
      </c>
      <c r="P143" s="340">
        <v>10</v>
      </c>
      <c r="Q143" s="27">
        <v>42552</v>
      </c>
      <c r="R143" s="255" t="s">
        <v>290</v>
      </c>
      <c r="S143" s="489" t="s">
        <v>1976</v>
      </c>
      <c r="T143" s="223"/>
      <c r="U143" s="45"/>
      <c r="V143" s="91"/>
      <c r="W143" s="340"/>
      <c r="X143" s="139">
        <f t="shared" si="9"/>
        <v>640</v>
      </c>
      <c r="Y143" s="255"/>
      <c r="Z143" s="140">
        <f>640-18</f>
        <v>622</v>
      </c>
      <c r="AA143" s="74"/>
      <c r="AB143" s="25"/>
      <c r="AC143" s="139">
        <f t="shared" si="10"/>
        <v>18</v>
      </c>
      <c r="AD143" s="139">
        <v>16</v>
      </c>
      <c r="AE143" s="76">
        <v>0.25</v>
      </c>
      <c r="AF143" s="76">
        <v>1.75</v>
      </c>
      <c r="AG143" s="344"/>
      <c r="AH143" s="80">
        <v>1.1000000000000001</v>
      </c>
      <c r="AI143" s="58"/>
      <c r="AJ143" s="62" t="s">
        <v>1982</v>
      </c>
      <c r="AK143" s="62" t="s">
        <v>1975</v>
      </c>
      <c r="AL143" s="310"/>
      <c r="AM143" s="38"/>
      <c r="AN143" s="117"/>
      <c r="AO143" s="82"/>
      <c r="AP143" s="41"/>
      <c r="AQ143" s="255"/>
      <c r="AR143" s="24"/>
    </row>
    <row r="144" spans="1:44" s="311" customFormat="1" ht="65.25" customHeight="1" x14ac:dyDescent="0.2">
      <c r="A144" s="21" t="s">
        <v>1968</v>
      </c>
      <c r="B144" s="22" t="s">
        <v>2084</v>
      </c>
      <c r="C144" s="22"/>
      <c r="D144" s="56" t="s">
        <v>2086</v>
      </c>
      <c r="E144" s="483" t="s">
        <v>106</v>
      </c>
      <c r="F144" s="484" t="s">
        <v>107</v>
      </c>
      <c r="G144" s="397" t="s">
        <v>2085</v>
      </c>
      <c r="H144" s="24"/>
      <c r="I144" s="255" t="s">
        <v>2089</v>
      </c>
      <c r="J144" s="255" t="s">
        <v>2088</v>
      </c>
      <c r="K144" s="267" t="s">
        <v>2087</v>
      </c>
      <c r="L144" s="22" t="s">
        <v>608</v>
      </c>
      <c r="M144" s="22" t="s">
        <v>1835</v>
      </c>
      <c r="N144" s="91" t="s">
        <v>976</v>
      </c>
      <c r="O144" s="41">
        <v>42948</v>
      </c>
      <c r="P144" s="340">
        <v>1</v>
      </c>
      <c r="Q144" s="27">
        <v>42937</v>
      </c>
      <c r="R144" s="255" t="s">
        <v>288</v>
      </c>
      <c r="S144" s="470"/>
      <c r="T144" s="223"/>
      <c r="U144" s="45"/>
      <c r="V144" s="91"/>
      <c r="W144" s="340"/>
      <c r="X144" s="139">
        <f t="shared" si="9"/>
        <v>0.53100000000000003</v>
      </c>
      <c r="Y144" s="255"/>
      <c r="Z144" s="140">
        <v>0.1</v>
      </c>
      <c r="AA144" s="74"/>
      <c r="AB144" s="25"/>
      <c r="AC144" s="139">
        <f t="shared" si="10"/>
        <v>0.43099999999999999</v>
      </c>
      <c r="AD144" s="139">
        <v>0.43099999999999999</v>
      </c>
      <c r="AE144" s="76"/>
      <c r="AF144" s="76"/>
      <c r="AG144" s="344"/>
      <c r="AH144" s="80"/>
      <c r="AI144" s="58"/>
      <c r="AJ144" s="62"/>
      <c r="AK144" s="62"/>
      <c r="AL144" s="310"/>
      <c r="AM144" s="38"/>
      <c r="AN144" s="117"/>
      <c r="AO144" s="82"/>
      <c r="AP144" s="41"/>
      <c r="AQ144" s="255"/>
      <c r="AR144" s="24"/>
    </row>
    <row r="145" spans="1:44" s="311" customFormat="1" ht="65.25" customHeight="1" x14ac:dyDescent="0.2">
      <c r="A145" s="21" t="s">
        <v>1969</v>
      </c>
      <c r="B145" s="22" t="s">
        <v>1972</v>
      </c>
      <c r="C145" s="22"/>
      <c r="D145" s="56" t="s">
        <v>1973</v>
      </c>
      <c r="E145" s="234" t="s">
        <v>109</v>
      </c>
      <c r="F145" s="235" t="s">
        <v>110</v>
      </c>
      <c r="G145" s="397" t="s">
        <v>193</v>
      </c>
      <c r="H145" s="24"/>
      <c r="I145" s="255" t="s">
        <v>1986</v>
      </c>
      <c r="J145" s="255" t="s">
        <v>1987</v>
      </c>
      <c r="K145" s="267" t="s">
        <v>1983</v>
      </c>
      <c r="L145" s="22" t="s">
        <v>328</v>
      </c>
      <c r="M145" s="28" t="s">
        <v>405</v>
      </c>
      <c r="N145" s="91" t="s">
        <v>1988</v>
      </c>
      <c r="O145" s="41">
        <v>41640</v>
      </c>
      <c r="P145" s="340">
        <v>12</v>
      </c>
      <c r="Q145" s="27">
        <v>42558</v>
      </c>
      <c r="R145" s="255" t="s">
        <v>290</v>
      </c>
      <c r="S145" s="471" t="s">
        <v>1985</v>
      </c>
      <c r="T145" s="223"/>
      <c r="U145" s="45"/>
      <c r="V145" s="91"/>
      <c r="W145" s="340"/>
      <c r="X145" s="139">
        <v>74.125</v>
      </c>
      <c r="Y145" s="255" t="s">
        <v>876</v>
      </c>
      <c r="Z145" s="140">
        <v>1.68</v>
      </c>
      <c r="AA145" s="74"/>
      <c r="AB145" s="25"/>
      <c r="AC145" s="139">
        <f t="shared" si="10"/>
        <v>49.344999999999999</v>
      </c>
      <c r="AD145" s="139">
        <v>49.344999999999999</v>
      </c>
      <c r="AE145" s="76"/>
      <c r="AF145" s="76"/>
      <c r="AG145" s="344"/>
      <c r="AH145" s="80">
        <v>7.8</v>
      </c>
      <c r="AI145" s="58"/>
      <c r="AJ145" s="62"/>
      <c r="AK145" s="62" t="s">
        <v>1984</v>
      </c>
      <c r="AL145" s="310"/>
      <c r="AM145" s="38"/>
      <c r="AN145" s="117"/>
      <c r="AO145" s="82"/>
      <c r="AP145" s="41"/>
      <c r="AQ145" s="255"/>
      <c r="AR145" s="24"/>
    </row>
    <row r="146" spans="1:44" s="311" customFormat="1" ht="65.25" customHeight="1" x14ac:dyDescent="0.2">
      <c r="A146" s="200" t="s">
        <v>1969</v>
      </c>
      <c r="B146" s="201" t="s">
        <v>2091</v>
      </c>
      <c r="C146" s="201"/>
      <c r="D146" s="202" t="s">
        <v>2090</v>
      </c>
      <c r="E146" s="253" t="s">
        <v>112</v>
      </c>
      <c r="F146" s="319" t="s">
        <v>113</v>
      </c>
      <c r="G146" s="405" t="s">
        <v>2092</v>
      </c>
      <c r="H146" s="203"/>
      <c r="I146" s="270" t="s">
        <v>2095</v>
      </c>
      <c r="J146" s="270" t="s">
        <v>2096</v>
      </c>
      <c r="K146" s="320" t="s">
        <v>2093</v>
      </c>
      <c r="L146" s="201" t="s">
        <v>2097</v>
      </c>
      <c r="M146" s="201" t="s">
        <v>2098</v>
      </c>
      <c r="N146" s="218" t="s">
        <v>2099</v>
      </c>
      <c r="O146" s="216">
        <v>42948</v>
      </c>
      <c r="P146" s="219">
        <v>4</v>
      </c>
      <c r="Q146" s="209">
        <v>42944</v>
      </c>
      <c r="R146" s="270" t="s">
        <v>290</v>
      </c>
      <c r="S146" s="269" t="s">
        <v>2094</v>
      </c>
      <c r="T146" s="224"/>
      <c r="U146" s="206"/>
      <c r="V146" s="218" t="s">
        <v>663</v>
      </c>
      <c r="W146" s="321">
        <v>1.79</v>
      </c>
      <c r="X146" s="276">
        <f t="shared" ref="X146:X200" si="11">Z146+AB146+AC146</f>
        <v>1.790141</v>
      </c>
      <c r="Y146" s="270"/>
      <c r="Z146" s="302"/>
      <c r="AA146" s="212"/>
      <c r="AB146" s="213"/>
      <c r="AC146" s="276">
        <f t="shared" si="10"/>
        <v>1.790141</v>
      </c>
      <c r="AD146" s="276">
        <v>1.790141</v>
      </c>
      <c r="AE146" s="275"/>
      <c r="AF146" s="275"/>
      <c r="AG146" s="257"/>
      <c r="AH146" s="387">
        <v>16.126000000000001</v>
      </c>
      <c r="AI146" s="214"/>
      <c r="AJ146" s="215"/>
      <c r="AK146" s="215"/>
      <c r="AL146" s="314"/>
      <c r="AM146" s="211"/>
      <c r="AN146" s="479"/>
      <c r="AO146" s="208"/>
      <c r="AP146" s="216"/>
      <c r="AQ146" s="270"/>
      <c r="AR146" s="203"/>
    </row>
    <row r="147" spans="1:44" s="311" customFormat="1" ht="90" customHeight="1" x14ac:dyDescent="0.2">
      <c r="A147" s="21" t="s">
        <v>1989</v>
      </c>
      <c r="B147" s="22" t="s">
        <v>1990</v>
      </c>
      <c r="C147" s="22"/>
      <c r="D147" s="56" t="s">
        <v>1991</v>
      </c>
      <c r="E147" s="388" t="s">
        <v>109</v>
      </c>
      <c r="F147" s="389" t="s">
        <v>110</v>
      </c>
      <c r="G147" s="390" t="s">
        <v>1776</v>
      </c>
      <c r="H147" s="24"/>
      <c r="I147" s="255" t="s">
        <v>1995</v>
      </c>
      <c r="J147" s="255" t="s">
        <v>1993</v>
      </c>
      <c r="K147" s="267" t="s">
        <v>1992</v>
      </c>
      <c r="L147" s="22" t="s">
        <v>749</v>
      </c>
      <c r="M147" s="28" t="s">
        <v>252</v>
      </c>
      <c r="N147" s="91" t="s">
        <v>1996</v>
      </c>
      <c r="O147" s="41">
        <v>42614</v>
      </c>
      <c r="P147" s="340">
        <v>3</v>
      </c>
      <c r="Q147" s="27">
        <v>42607</v>
      </c>
      <c r="R147" s="255" t="s">
        <v>288</v>
      </c>
      <c r="S147" s="472" t="s">
        <v>1994</v>
      </c>
      <c r="T147" s="223"/>
      <c r="U147" s="45"/>
      <c r="V147" s="91"/>
      <c r="W147" s="340"/>
      <c r="X147" s="139">
        <f t="shared" si="11"/>
        <v>0.55000000000000004</v>
      </c>
      <c r="Y147" s="255"/>
      <c r="Z147" s="140"/>
      <c r="AA147" s="74"/>
      <c r="AB147" s="25"/>
      <c r="AC147" s="139">
        <f t="shared" si="10"/>
        <v>0.55000000000000004</v>
      </c>
      <c r="AD147" s="139">
        <v>0.45</v>
      </c>
      <c r="AE147" s="76"/>
      <c r="AF147" s="76">
        <v>0.1</v>
      </c>
      <c r="AG147" s="344"/>
      <c r="AH147" s="80"/>
      <c r="AI147" s="58"/>
      <c r="AJ147" s="62"/>
      <c r="AK147" s="62"/>
      <c r="AL147" s="310"/>
      <c r="AM147" s="38"/>
      <c r="AN147" s="117"/>
      <c r="AO147" s="82"/>
      <c r="AP147" s="41"/>
      <c r="AQ147" s="255"/>
      <c r="AR147" s="24"/>
    </row>
    <row r="148" spans="1:44" s="311" customFormat="1" ht="132.75" customHeight="1" x14ac:dyDescent="0.2">
      <c r="A148" s="21" t="s">
        <v>1989</v>
      </c>
      <c r="B148" s="22" t="s">
        <v>2101</v>
      </c>
      <c r="C148" s="22"/>
      <c r="D148" s="56" t="s">
        <v>2103</v>
      </c>
      <c r="E148" s="24" t="s">
        <v>106</v>
      </c>
      <c r="F148" s="26" t="s">
        <v>108</v>
      </c>
      <c r="G148" s="397" t="s">
        <v>2102</v>
      </c>
      <c r="H148" s="24"/>
      <c r="I148" s="255" t="s">
        <v>2107</v>
      </c>
      <c r="J148" s="255" t="s">
        <v>2109</v>
      </c>
      <c r="K148" s="267" t="s">
        <v>2104</v>
      </c>
      <c r="L148" s="22" t="s">
        <v>2105</v>
      </c>
      <c r="M148" s="22" t="s">
        <v>2106</v>
      </c>
      <c r="N148" s="91" t="s">
        <v>2110</v>
      </c>
      <c r="O148" s="41">
        <v>43009</v>
      </c>
      <c r="P148" s="340">
        <v>5</v>
      </c>
      <c r="Q148" s="27">
        <v>43003</v>
      </c>
      <c r="R148" s="255" t="s">
        <v>290</v>
      </c>
      <c r="S148" s="473" t="s">
        <v>2108</v>
      </c>
      <c r="T148" s="223"/>
      <c r="U148" s="45"/>
      <c r="V148" s="91"/>
      <c r="W148" s="323"/>
      <c r="X148" s="139">
        <f t="shared" si="11"/>
        <v>98.321200000000005</v>
      </c>
      <c r="Y148" s="255"/>
      <c r="Z148" s="140">
        <f>76*1.2937-AC148</f>
        <v>40.104700000000008</v>
      </c>
      <c r="AA148" s="74"/>
      <c r="AB148" s="25"/>
      <c r="AC148" s="139">
        <f t="shared" si="10"/>
        <v>58.216499999999996</v>
      </c>
      <c r="AD148" s="139">
        <f>15*1.2937</f>
        <v>19.4055</v>
      </c>
      <c r="AE148" s="76">
        <f>30*1.2937</f>
        <v>38.811</v>
      </c>
      <c r="AF148" s="76"/>
      <c r="AG148" s="344"/>
      <c r="AH148" s="80">
        <v>2.6839999999999999E-2</v>
      </c>
      <c r="AI148" s="58"/>
      <c r="AJ148" s="62"/>
      <c r="AK148" s="62"/>
      <c r="AL148" s="310"/>
      <c r="AM148" s="38"/>
      <c r="AN148" s="117"/>
      <c r="AO148" s="82">
        <v>59.1</v>
      </c>
      <c r="AP148" s="41"/>
      <c r="AQ148" s="255"/>
      <c r="AR148" s="24"/>
    </row>
    <row r="149" spans="1:44" s="311" customFormat="1" ht="75" customHeight="1" x14ac:dyDescent="0.2">
      <c r="A149" s="21" t="s">
        <v>1998</v>
      </c>
      <c r="B149" s="22" t="s">
        <v>1999</v>
      </c>
      <c r="C149" s="22"/>
      <c r="D149" s="56" t="s">
        <v>1997</v>
      </c>
      <c r="E149" s="132" t="s">
        <v>112</v>
      </c>
      <c r="F149" s="133" t="s">
        <v>115</v>
      </c>
      <c r="G149" s="134" t="s">
        <v>179</v>
      </c>
      <c r="H149" s="24"/>
      <c r="I149" s="255" t="s">
        <v>2005</v>
      </c>
      <c r="J149" s="255" t="s">
        <v>2004</v>
      </c>
      <c r="K149" s="267" t="s">
        <v>2000</v>
      </c>
      <c r="L149" s="22" t="s">
        <v>436</v>
      </c>
      <c r="M149" s="28" t="s">
        <v>2001</v>
      </c>
      <c r="N149" s="91" t="s">
        <v>2002</v>
      </c>
      <c r="O149" s="41">
        <v>42644</v>
      </c>
      <c r="P149" s="340">
        <v>5</v>
      </c>
      <c r="Q149" s="27">
        <v>42632</v>
      </c>
      <c r="R149" s="255" t="s">
        <v>290</v>
      </c>
      <c r="S149" s="476" t="s">
        <v>2013</v>
      </c>
      <c r="T149" s="223"/>
      <c r="U149" s="45"/>
      <c r="V149" s="91"/>
      <c r="W149" s="340"/>
      <c r="X149" s="139">
        <f t="shared" si="11"/>
        <v>236.6</v>
      </c>
      <c r="Y149" s="255" t="s">
        <v>2003</v>
      </c>
      <c r="Z149" s="140">
        <f>96+40</f>
        <v>136</v>
      </c>
      <c r="AA149" s="74"/>
      <c r="AB149" s="25"/>
      <c r="AC149" s="139">
        <f t="shared" si="10"/>
        <v>100.6</v>
      </c>
      <c r="AD149" s="139">
        <v>96</v>
      </c>
      <c r="AE149" s="76"/>
      <c r="AF149" s="76">
        <v>4.5999999999999996</v>
      </c>
      <c r="AG149" s="344"/>
      <c r="AH149" s="80">
        <v>6.51</v>
      </c>
      <c r="AI149" s="58"/>
      <c r="AJ149" s="62"/>
      <c r="AK149" s="62" t="s">
        <v>2006</v>
      </c>
      <c r="AL149" s="310" t="s">
        <v>1489</v>
      </c>
      <c r="AM149" s="38">
        <v>215</v>
      </c>
      <c r="AN149" s="117"/>
      <c r="AO149" s="82"/>
      <c r="AP149" s="41"/>
      <c r="AQ149" s="255"/>
      <c r="AR149" s="24"/>
    </row>
    <row r="150" spans="1:44" s="311" customFormat="1" ht="89.25" customHeight="1" x14ac:dyDescent="0.2">
      <c r="A150" s="21" t="s">
        <v>1998</v>
      </c>
      <c r="B150" s="22" t="s">
        <v>2111</v>
      </c>
      <c r="C150" s="22"/>
      <c r="D150" s="56" t="s">
        <v>2112</v>
      </c>
      <c r="E150" s="24" t="s">
        <v>106</v>
      </c>
      <c r="F150" s="26" t="s">
        <v>108</v>
      </c>
      <c r="G150" s="24" t="s">
        <v>46</v>
      </c>
      <c r="H150" s="24"/>
      <c r="I150" s="255" t="s">
        <v>2117</v>
      </c>
      <c r="J150" s="255" t="s">
        <v>2116</v>
      </c>
      <c r="K150" s="267" t="s">
        <v>2113</v>
      </c>
      <c r="L150" s="22" t="s">
        <v>436</v>
      </c>
      <c r="M150" s="22" t="s">
        <v>2118</v>
      </c>
      <c r="N150" s="22" t="s">
        <v>2119</v>
      </c>
      <c r="O150" s="41">
        <v>43101</v>
      </c>
      <c r="P150" s="340">
        <v>3</v>
      </c>
      <c r="Q150" s="27">
        <v>43105</v>
      </c>
      <c r="R150" s="255" t="s">
        <v>288</v>
      </c>
      <c r="S150" s="477" t="s">
        <v>2114</v>
      </c>
      <c r="T150" s="223"/>
      <c r="U150" s="45"/>
      <c r="V150" s="91"/>
      <c r="W150" s="323"/>
      <c r="X150" s="139">
        <f t="shared" si="11"/>
        <v>0.81500000000000006</v>
      </c>
      <c r="Y150" s="255"/>
      <c r="Z150" s="140">
        <v>0.28000000000000003</v>
      </c>
      <c r="AA150" s="74" t="s">
        <v>2115</v>
      </c>
      <c r="AB150" s="76">
        <v>0.13500000000000001</v>
      </c>
      <c r="AC150" s="139">
        <f t="shared" si="10"/>
        <v>0.4</v>
      </c>
      <c r="AD150" s="139"/>
      <c r="AE150" s="76">
        <v>0.3</v>
      </c>
      <c r="AF150" s="76">
        <v>0.1</v>
      </c>
      <c r="AG150" s="344"/>
      <c r="AH150" s="80"/>
      <c r="AI150" s="58"/>
      <c r="AJ150" s="62"/>
      <c r="AK150" s="62"/>
      <c r="AL150" s="310"/>
      <c r="AM150" s="38"/>
      <c r="AN150" s="117"/>
      <c r="AO150" s="82"/>
      <c r="AP150" s="41"/>
      <c r="AQ150" s="255"/>
      <c r="AR150" s="24"/>
    </row>
    <row r="151" spans="1:44" s="311" customFormat="1" ht="102" customHeight="1" x14ac:dyDescent="0.2">
      <c r="A151" s="21" t="s">
        <v>2007</v>
      </c>
      <c r="B151" s="22" t="s">
        <v>2008</v>
      </c>
      <c r="C151" s="22"/>
      <c r="D151" s="56" t="s">
        <v>2009</v>
      </c>
      <c r="E151" s="132" t="s">
        <v>112</v>
      </c>
      <c r="F151" s="133" t="s">
        <v>115</v>
      </c>
      <c r="G151" s="134" t="s">
        <v>179</v>
      </c>
      <c r="H151" s="24"/>
      <c r="I151" s="255" t="s">
        <v>2014</v>
      </c>
      <c r="J151" s="255" t="s">
        <v>2015</v>
      </c>
      <c r="K151" s="267" t="s">
        <v>2010</v>
      </c>
      <c r="L151" s="22" t="s">
        <v>1435</v>
      </c>
      <c r="M151" s="28" t="s">
        <v>95</v>
      </c>
      <c r="N151" s="91" t="s">
        <v>95</v>
      </c>
      <c r="O151" s="41">
        <v>42644</v>
      </c>
      <c r="P151" s="340">
        <v>16</v>
      </c>
      <c r="Q151" s="27">
        <v>42660</v>
      </c>
      <c r="R151" s="255" t="s">
        <v>290</v>
      </c>
      <c r="S151" s="477" t="s">
        <v>2012</v>
      </c>
      <c r="T151" s="223"/>
      <c r="U151" s="45"/>
      <c r="V151" s="91"/>
      <c r="W151" s="340"/>
      <c r="X151" s="139">
        <f t="shared" si="11"/>
        <v>33.299999999999997</v>
      </c>
      <c r="Y151" s="255" t="s">
        <v>876</v>
      </c>
      <c r="Z151" s="140">
        <v>0.3</v>
      </c>
      <c r="AA151" s="74"/>
      <c r="AB151" s="25"/>
      <c r="AC151" s="139">
        <f t="shared" si="10"/>
        <v>33</v>
      </c>
      <c r="AD151" s="139">
        <v>33</v>
      </c>
      <c r="AE151" s="76"/>
      <c r="AF151" s="76"/>
      <c r="AG151" s="344"/>
      <c r="AH151" s="80">
        <v>5.2</v>
      </c>
      <c r="AI151" s="58"/>
      <c r="AJ151" s="62"/>
      <c r="AK151" s="62" t="s">
        <v>2011</v>
      </c>
      <c r="AL151" s="310" t="s">
        <v>1489</v>
      </c>
      <c r="AM151" s="38"/>
      <c r="AN151" s="117"/>
      <c r="AO151" s="82"/>
      <c r="AP151" s="41"/>
      <c r="AQ151" s="255"/>
      <c r="AR151" s="24"/>
    </row>
    <row r="152" spans="1:44" s="311" customFormat="1" ht="61.5" customHeight="1" x14ac:dyDescent="0.2">
      <c r="A152" s="21" t="s">
        <v>2007</v>
      </c>
      <c r="B152" s="22" t="s">
        <v>2120</v>
      </c>
      <c r="C152" s="22"/>
      <c r="D152" s="56" t="s">
        <v>2129</v>
      </c>
      <c r="E152" s="483" t="s">
        <v>109</v>
      </c>
      <c r="F152" s="484" t="s">
        <v>125</v>
      </c>
      <c r="G152" s="487" t="s">
        <v>79</v>
      </c>
      <c r="H152" s="24"/>
      <c r="I152" s="255" t="s">
        <v>2139</v>
      </c>
      <c r="J152" s="255" t="s">
        <v>2138</v>
      </c>
      <c r="K152" s="267" t="s">
        <v>2136</v>
      </c>
      <c r="L152" s="22" t="s">
        <v>415</v>
      </c>
      <c r="M152" s="22" t="s">
        <v>727</v>
      </c>
      <c r="N152" s="91" t="s">
        <v>2137</v>
      </c>
      <c r="O152" s="41">
        <v>43101</v>
      </c>
      <c r="P152" s="340">
        <v>8</v>
      </c>
      <c r="Q152" s="27">
        <v>43117</v>
      </c>
      <c r="R152" s="255" t="s">
        <v>290</v>
      </c>
      <c r="S152" s="477" t="s">
        <v>2140</v>
      </c>
      <c r="T152" s="223"/>
      <c r="U152" s="45"/>
      <c r="V152" s="91"/>
      <c r="W152" s="323"/>
      <c r="X152" s="139">
        <f t="shared" si="11"/>
        <v>23.45</v>
      </c>
      <c r="Y152" s="22" t="s">
        <v>2145</v>
      </c>
      <c r="Z152" s="140">
        <f>8.33+0.16</f>
        <v>8.49</v>
      </c>
      <c r="AA152" s="74"/>
      <c r="AB152" s="76"/>
      <c r="AC152" s="139">
        <f t="shared" si="10"/>
        <v>14.959999999999999</v>
      </c>
      <c r="AD152" s="139">
        <v>14.507</v>
      </c>
      <c r="AE152" s="76"/>
      <c r="AF152" s="76">
        <v>0.45300000000000001</v>
      </c>
      <c r="AG152" s="80"/>
      <c r="AH152" s="80"/>
      <c r="AI152" s="80">
        <v>1.0364</v>
      </c>
      <c r="AJ152" s="62"/>
      <c r="AK152" s="62"/>
      <c r="AL152" s="310"/>
      <c r="AM152" s="38">
        <v>20</v>
      </c>
      <c r="AN152" s="117"/>
      <c r="AO152" s="82"/>
      <c r="AP152" s="41"/>
      <c r="AQ152" s="255"/>
      <c r="AR152" s="24"/>
    </row>
    <row r="153" spans="1:44" s="311" customFormat="1" ht="86.25" customHeight="1" x14ac:dyDescent="0.2">
      <c r="A153" s="21" t="s">
        <v>2016</v>
      </c>
      <c r="B153" s="22" t="s">
        <v>2018</v>
      </c>
      <c r="C153" s="22"/>
      <c r="D153" s="56" t="s">
        <v>2017</v>
      </c>
      <c r="E153" s="132" t="s">
        <v>112</v>
      </c>
      <c r="F153" s="133" t="s">
        <v>117</v>
      </c>
      <c r="G153" s="134" t="s">
        <v>74</v>
      </c>
      <c r="H153" s="24"/>
      <c r="I153" s="255" t="s">
        <v>2026</v>
      </c>
      <c r="J153" s="255" t="s">
        <v>2021</v>
      </c>
      <c r="K153" s="267" t="s">
        <v>2019</v>
      </c>
      <c r="L153" s="22" t="s">
        <v>2020</v>
      </c>
      <c r="M153" s="28" t="s">
        <v>328</v>
      </c>
      <c r="N153" s="91" t="s">
        <v>1841</v>
      </c>
      <c r="O153" s="41">
        <v>42736</v>
      </c>
      <c r="P153" s="340">
        <v>13</v>
      </c>
      <c r="Q153" s="27">
        <v>42703</v>
      </c>
      <c r="R153" s="255" t="s">
        <v>290</v>
      </c>
      <c r="S153" s="477"/>
      <c r="T153" s="223"/>
      <c r="U153" s="45"/>
      <c r="V153" s="91"/>
      <c r="W153" s="340"/>
      <c r="X153" s="139">
        <f t="shared" si="11"/>
        <v>1848</v>
      </c>
      <c r="Y153" s="255" t="s">
        <v>2023</v>
      </c>
      <c r="Z153" s="140">
        <f>1848-AC153</f>
        <v>1266</v>
      </c>
      <c r="AA153" s="74" t="s">
        <v>2022</v>
      </c>
      <c r="AB153" s="25"/>
      <c r="AC153" s="139">
        <f t="shared" si="10"/>
        <v>582</v>
      </c>
      <c r="AD153" s="139">
        <v>575</v>
      </c>
      <c r="AE153" s="76"/>
      <c r="AF153" s="76">
        <v>7</v>
      </c>
      <c r="AG153" s="344"/>
      <c r="AH153" s="80">
        <v>8.6</v>
      </c>
      <c r="AI153" s="58"/>
      <c r="AJ153" s="62"/>
      <c r="AK153" s="62" t="s">
        <v>2024</v>
      </c>
      <c r="AL153" s="310" t="s">
        <v>2025</v>
      </c>
      <c r="AM153" s="38"/>
      <c r="AN153" s="117"/>
      <c r="AO153" s="82"/>
      <c r="AP153" s="41"/>
      <c r="AQ153" s="255"/>
      <c r="AR153" s="24"/>
    </row>
    <row r="154" spans="1:44" s="311" customFormat="1" ht="62.25" customHeight="1" x14ac:dyDescent="0.2">
      <c r="A154" s="21" t="s">
        <v>2016</v>
      </c>
      <c r="B154" s="22" t="s">
        <v>2121</v>
      </c>
      <c r="C154" s="22"/>
      <c r="D154" s="56" t="s">
        <v>2130</v>
      </c>
      <c r="E154" s="483" t="s">
        <v>109</v>
      </c>
      <c r="F154" s="484" t="s">
        <v>125</v>
      </c>
      <c r="G154" s="487" t="s">
        <v>79</v>
      </c>
      <c r="H154" s="24"/>
      <c r="I154" s="255" t="s">
        <v>2146</v>
      </c>
      <c r="J154" s="255" t="s">
        <v>2142</v>
      </c>
      <c r="K154" s="267" t="s">
        <v>2136</v>
      </c>
      <c r="L154" s="22" t="s">
        <v>434</v>
      </c>
      <c r="M154" s="22" t="s">
        <v>565</v>
      </c>
      <c r="N154" s="91" t="s">
        <v>2141</v>
      </c>
      <c r="O154" s="41">
        <v>43101</v>
      </c>
      <c r="P154" s="340">
        <v>12</v>
      </c>
      <c r="Q154" s="27">
        <v>43117</v>
      </c>
      <c r="R154" s="255" t="s">
        <v>290</v>
      </c>
      <c r="S154" s="482" t="s">
        <v>2144</v>
      </c>
      <c r="T154" s="223"/>
      <c r="U154" s="45"/>
      <c r="V154" s="91"/>
      <c r="W154" s="323"/>
      <c r="X154" s="139">
        <f t="shared" si="11"/>
        <v>180.13900000000001</v>
      </c>
      <c r="Y154" s="255" t="s">
        <v>2143</v>
      </c>
      <c r="Z154" s="140">
        <f>0.3+35.968</f>
        <v>36.268000000000001</v>
      </c>
      <c r="AA154" s="74"/>
      <c r="AB154" s="76"/>
      <c r="AC154" s="139">
        <f t="shared" si="10"/>
        <v>143.87100000000001</v>
      </c>
      <c r="AD154" s="139">
        <v>143.571</v>
      </c>
      <c r="AE154" s="76"/>
      <c r="AF154" s="76">
        <v>0.3</v>
      </c>
      <c r="AG154" s="80"/>
      <c r="AH154" s="80"/>
      <c r="AI154" s="80">
        <v>1.6685000000000001</v>
      </c>
      <c r="AJ154" s="62"/>
      <c r="AK154" s="62"/>
      <c r="AL154" s="310"/>
      <c r="AM154" s="38"/>
      <c r="AN154" s="117"/>
      <c r="AO154" s="82"/>
      <c r="AP154" s="41"/>
      <c r="AQ154" s="255"/>
      <c r="AR154" s="24"/>
    </row>
    <row r="155" spans="1:44" s="311" customFormat="1" ht="86.25" customHeight="1" x14ac:dyDescent="0.2">
      <c r="A155" s="21" t="s">
        <v>2028</v>
      </c>
      <c r="B155" s="22" t="s">
        <v>2030</v>
      </c>
      <c r="C155" s="22"/>
      <c r="D155" s="56" t="s">
        <v>2029</v>
      </c>
      <c r="E155" s="88" t="s">
        <v>106</v>
      </c>
      <c r="F155" s="89" t="s">
        <v>107</v>
      </c>
      <c r="G155" s="90" t="s">
        <v>346</v>
      </c>
      <c r="H155" s="24"/>
      <c r="I155" s="255" t="s">
        <v>2033</v>
      </c>
      <c r="J155" s="255" t="s">
        <v>2032</v>
      </c>
      <c r="K155" s="267" t="s">
        <v>2031</v>
      </c>
      <c r="L155" s="22" t="s">
        <v>436</v>
      </c>
      <c r="M155" s="22" t="s">
        <v>1039</v>
      </c>
      <c r="N155" s="91" t="s">
        <v>1038</v>
      </c>
      <c r="O155" s="41">
        <v>42767</v>
      </c>
      <c r="P155" s="340">
        <f>10/12</f>
        <v>0.83333333333333337</v>
      </c>
      <c r="Q155" s="27">
        <v>42783</v>
      </c>
      <c r="R155" s="255" t="s">
        <v>288</v>
      </c>
      <c r="S155" s="489"/>
      <c r="T155" s="223"/>
      <c r="U155" s="45"/>
      <c r="V155" s="91"/>
      <c r="W155" s="340"/>
      <c r="X155" s="139">
        <f t="shared" si="11"/>
        <v>0.35</v>
      </c>
      <c r="Y155" s="255"/>
      <c r="Z155" s="140"/>
      <c r="AA155" s="74"/>
      <c r="AB155" s="25"/>
      <c r="AC155" s="139">
        <f t="shared" si="10"/>
        <v>0.35</v>
      </c>
      <c r="AD155" s="139">
        <v>0.35</v>
      </c>
      <c r="AE155" s="76"/>
      <c r="AF155" s="76"/>
      <c r="AG155" s="344"/>
      <c r="AH155" s="80"/>
      <c r="AI155" s="58"/>
      <c r="AJ155" s="62"/>
      <c r="AK155" s="62"/>
      <c r="AL155" s="310"/>
      <c r="AM155" s="38"/>
      <c r="AN155" s="117"/>
      <c r="AO155" s="82"/>
      <c r="AP155" s="41"/>
      <c r="AQ155" s="255"/>
      <c r="AR155" s="24"/>
    </row>
    <row r="156" spans="1:44" s="311" customFormat="1" ht="75" customHeight="1" x14ac:dyDescent="0.2">
      <c r="A156" s="21" t="s">
        <v>2028</v>
      </c>
      <c r="B156" s="22" t="s">
        <v>2122</v>
      </c>
      <c r="C156" s="22"/>
      <c r="D156" s="56" t="s">
        <v>2131</v>
      </c>
      <c r="E156" s="483" t="s">
        <v>109</v>
      </c>
      <c r="F156" s="484" t="s">
        <v>125</v>
      </c>
      <c r="G156" s="487" t="s">
        <v>79</v>
      </c>
      <c r="H156" s="24"/>
      <c r="I156" s="255" t="s">
        <v>2148</v>
      </c>
      <c r="J156" s="255" t="s">
        <v>2147</v>
      </c>
      <c r="K156" s="267" t="s">
        <v>2136</v>
      </c>
      <c r="L156" s="22" t="s">
        <v>415</v>
      </c>
      <c r="M156" s="22" t="s">
        <v>95</v>
      </c>
      <c r="N156" s="91" t="s">
        <v>95</v>
      </c>
      <c r="O156" s="41">
        <v>43101</v>
      </c>
      <c r="P156" s="340">
        <v>5</v>
      </c>
      <c r="Q156" s="27">
        <v>43117</v>
      </c>
      <c r="R156" s="255" t="s">
        <v>290</v>
      </c>
      <c r="S156" s="489"/>
      <c r="T156" s="223"/>
      <c r="U156" s="45"/>
      <c r="V156" s="91"/>
      <c r="W156" s="323"/>
      <c r="X156" s="139">
        <f t="shared" si="11"/>
        <v>827.94295499999998</v>
      </c>
      <c r="Y156" s="255" t="s">
        <v>2149</v>
      </c>
      <c r="Z156" s="140">
        <v>165.48500000000001</v>
      </c>
      <c r="AA156" s="74"/>
      <c r="AB156" s="76"/>
      <c r="AC156" s="139">
        <f t="shared" si="10"/>
        <v>662.45795499999997</v>
      </c>
      <c r="AD156" s="139">
        <v>662.35446300000001</v>
      </c>
      <c r="AE156" s="76"/>
      <c r="AF156" s="76">
        <v>0.103492</v>
      </c>
      <c r="AG156" s="80"/>
      <c r="AH156" s="80"/>
      <c r="AI156" s="80">
        <v>0.60899999999999999</v>
      </c>
      <c r="AJ156" s="62"/>
      <c r="AK156" s="62"/>
      <c r="AL156" s="310"/>
      <c r="AM156" s="38">
        <v>400</v>
      </c>
      <c r="AN156" s="117"/>
      <c r="AO156" s="82"/>
      <c r="AP156" s="41"/>
      <c r="AQ156" s="255"/>
      <c r="AR156" s="24"/>
    </row>
    <row r="157" spans="1:44" s="311" customFormat="1" ht="89.25" customHeight="1" x14ac:dyDescent="0.2">
      <c r="A157" s="21" t="s">
        <v>2036</v>
      </c>
      <c r="B157" s="22" t="s">
        <v>2041</v>
      </c>
      <c r="C157" s="22"/>
      <c r="D157" s="56" t="s">
        <v>2040</v>
      </c>
      <c r="E157" s="234" t="s">
        <v>105</v>
      </c>
      <c r="F157" s="322" t="s">
        <v>114</v>
      </c>
      <c r="G157" s="397" t="s">
        <v>133</v>
      </c>
      <c r="H157" s="24" t="s">
        <v>2053</v>
      </c>
      <c r="I157" s="255" t="s">
        <v>2051</v>
      </c>
      <c r="J157" s="255" t="s">
        <v>2050</v>
      </c>
      <c r="K157" s="267" t="s">
        <v>1769</v>
      </c>
      <c r="L157" s="22" t="s">
        <v>328</v>
      </c>
      <c r="M157" s="22" t="s">
        <v>1841</v>
      </c>
      <c r="N157" s="91" t="s">
        <v>2052</v>
      </c>
      <c r="O157" s="41">
        <v>42826</v>
      </c>
      <c r="P157" s="340">
        <v>5</v>
      </c>
      <c r="Q157" s="27">
        <v>42807</v>
      </c>
      <c r="R157" s="255" t="s">
        <v>290</v>
      </c>
      <c r="S157" s="485"/>
      <c r="T157" s="223"/>
      <c r="U157" s="45"/>
      <c r="V157" s="91"/>
      <c r="W157" s="340"/>
      <c r="X157" s="139">
        <f t="shared" si="11"/>
        <v>3.5300000000000002</v>
      </c>
      <c r="Y157" s="255"/>
      <c r="Z157" s="140"/>
      <c r="AA157" s="74"/>
      <c r="AB157" s="25">
        <v>1.9750000000000001</v>
      </c>
      <c r="AC157" s="139">
        <f t="shared" si="10"/>
        <v>1.5549999999999999</v>
      </c>
      <c r="AD157" s="139">
        <v>1.52</v>
      </c>
      <c r="AE157" s="76"/>
      <c r="AF157" s="76">
        <v>3.5000000000000003E-2</v>
      </c>
      <c r="AG157" s="344"/>
      <c r="AH157" s="80">
        <v>0.77</v>
      </c>
      <c r="AI157" s="58"/>
      <c r="AJ157" s="62"/>
      <c r="AK157" s="62" t="s">
        <v>2049</v>
      </c>
      <c r="AL157" s="310"/>
      <c r="AM157" s="38"/>
      <c r="AN157" s="117"/>
      <c r="AO157" s="82"/>
      <c r="AP157" s="41"/>
      <c r="AQ157" s="255"/>
      <c r="AR157" s="24"/>
    </row>
    <row r="158" spans="1:44" s="311" customFormat="1" ht="89.25" customHeight="1" x14ac:dyDescent="0.2">
      <c r="A158" s="21" t="s">
        <v>2036</v>
      </c>
      <c r="B158" s="22" t="s">
        <v>2123</v>
      </c>
      <c r="C158" s="22"/>
      <c r="D158" s="56" t="s">
        <v>2132</v>
      </c>
      <c r="E158" s="483" t="s">
        <v>109</v>
      </c>
      <c r="F158" s="484" t="s">
        <v>125</v>
      </c>
      <c r="G158" s="487" t="s">
        <v>79</v>
      </c>
      <c r="H158" s="24"/>
      <c r="I158" s="255" t="s">
        <v>2151</v>
      </c>
      <c r="J158" s="255" t="s">
        <v>2150</v>
      </c>
      <c r="K158" s="267" t="s">
        <v>2136</v>
      </c>
      <c r="L158" s="22" t="s">
        <v>2205</v>
      </c>
      <c r="M158" s="22" t="s">
        <v>94</v>
      </c>
      <c r="N158" s="91" t="s">
        <v>93</v>
      </c>
      <c r="O158" s="41">
        <v>43101</v>
      </c>
      <c r="P158" s="340">
        <v>6</v>
      </c>
      <c r="Q158" s="27">
        <v>43117</v>
      </c>
      <c r="R158" s="255" t="s">
        <v>290</v>
      </c>
      <c r="S158" s="486"/>
      <c r="T158" s="223"/>
      <c r="U158" s="45"/>
      <c r="V158" s="91"/>
      <c r="W158" s="323"/>
      <c r="X158" s="139">
        <f t="shared" si="11"/>
        <v>637.45148800000004</v>
      </c>
      <c r="Y158" s="489"/>
      <c r="Z158" s="140">
        <f>637.451488-577.994825</f>
        <v>59.456663000000049</v>
      </c>
      <c r="AA158" s="74"/>
      <c r="AB158" s="76"/>
      <c r="AC158" s="139">
        <f t="shared" si="10"/>
        <v>577.99482499999999</v>
      </c>
      <c r="AD158" s="139">
        <f>577.994825-353.627-0.258732</f>
        <v>224.10909299999997</v>
      </c>
      <c r="AE158" s="76">
        <v>353.62700000000001</v>
      </c>
      <c r="AF158" s="76">
        <v>0.25873200000000002</v>
      </c>
      <c r="AG158" s="344"/>
      <c r="AH158" s="80"/>
      <c r="AI158" s="80">
        <v>0.8</v>
      </c>
      <c r="AJ158" s="62"/>
      <c r="AK158" s="62"/>
      <c r="AL158" s="310"/>
      <c r="AM158" s="38"/>
      <c r="AN158" s="117"/>
      <c r="AO158" s="82"/>
      <c r="AP158" s="41"/>
      <c r="AQ158" s="255"/>
      <c r="AR158" s="24"/>
    </row>
    <row r="159" spans="1:44" s="311" customFormat="1" ht="111.75" customHeight="1" x14ac:dyDescent="0.2">
      <c r="A159" s="21" t="s">
        <v>2037</v>
      </c>
      <c r="B159" s="22" t="s">
        <v>2043</v>
      </c>
      <c r="C159" s="22"/>
      <c r="D159" s="56" t="s">
        <v>2042</v>
      </c>
      <c r="E159" s="234" t="s">
        <v>105</v>
      </c>
      <c r="F159" s="322" t="s">
        <v>114</v>
      </c>
      <c r="G159" s="397" t="s">
        <v>133</v>
      </c>
      <c r="H159" s="24"/>
      <c r="I159" s="255" t="s">
        <v>2057</v>
      </c>
      <c r="J159" s="255" t="s">
        <v>2056</v>
      </c>
      <c r="K159" s="267" t="s">
        <v>2054</v>
      </c>
      <c r="L159" s="22" t="s">
        <v>436</v>
      </c>
      <c r="M159" s="22" t="s">
        <v>2058</v>
      </c>
      <c r="N159" s="91" t="s">
        <v>1038</v>
      </c>
      <c r="O159" s="41">
        <v>42826</v>
      </c>
      <c r="P159" s="340">
        <v>5</v>
      </c>
      <c r="Q159" s="27">
        <v>42807</v>
      </c>
      <c r="R159" s="255" t="s">
        <v>290</v>
      </c>
      <c r="S159" s="486"/>
      <c r="T159" s="223"/>
      <c r="U159" s="45"/>
      <c r="V159" s="91"/>
      <c r="W159" s="340"/>
      <c r="X159" s="139">
        <f t="shared" si="11"/>
        <v>246</v>
      </c>
      <c r="Y159" s="255"/>
      <c r="Z159" s="140">
        <v>135</v>
      </c>
      <c r="AA159" s="74"/>
      <c r="AB159" s="25"/>
      <c r="AC159" s="139">
        <f t="shared" si="10"/>
        <v>111</v>
      </c>
      <c r="AD159" s="139">
        <v>100</v>
      </c>
      <c r="AE159" s="76"/>
      <c r="AF159" s="76">
        <v>11</v>
      </c>
      <c r="AG159" s="344"/>
      <c r="AH159" s="80">
        <v>0.91</v>
      </c>
      <c r="AI159" s="58"/>
      <c r="AJ159" s="62"/>
      <c r="AK159" s="62" t="s">
        <v>2055</v>
      </c>
      <c r="AL159" s="310"/>
      <c r="AM159" s="38"/>
      <c r="AN159" s="117"/>
      <c r="AO159" s="82"/>
      <c r="AP159" s="41"/>
      <c r="AQ159" s="255"/>
      <c r="AR159" s="24"/>
    </row>
    <row r="160" spans="1:44" s="311" customFormat="1" ht="64.5" customHeight="1" x14ac:dyDescent="0.2">
      <c r="A160" s="21" t="s">
        <v>2037</v>
      </c>
      <c r="B160" s="22" t="s">
        <v>2124</v>
      </c>
      <c r="C160" s="22"/>
      <c r="D160" s="56" t="s">
        <v>2133</v>
      </c>
      <c r="E160" s="483" t="s">
        <v>109</v>
      </c>
      <c r="F160" s="484" t="s">
        <v>125</v>
      </c>
      <c r="G160" s="487" t="s">
        <v>79</v>
      </c>
      <c r="H160" s="24"/>
      <c r="I160" s="255" t="s">
        <v>2152</v>
      </c>
      <c r="J160" s="255" t="s">
        <v>2155</v>
      </c>
      <c r="K160" s="267" t="s">
        <v>2136</v>
      </c>
      <c r="L160" s="22" t="s">
        <v>2154</v>
      </c>
      <c r="M160" s="22" t="s">
        <v>1839</v>
      </c>
      <c r="N160" s="91" t="s">
        <v>2153</v>
      </c>
      <c r="O160" s="41">
        <v>43101</v>
      </c>
      <c r="P160" s="340">
        <v>13</v>
      </c>
      <c r="Q160" s="27">
        <v>43117</v>
      </c>
      <c r="R160" s="255" t="s">
        <v>290</v>
      </c>
      <c r="S160" s="486"/>
      <c r="T160" s="223"/>
      <c r="U160" s="45"/>
      <c r="V160" s="91"/>
      <c r="W160" s="323"/>
      <c r="X160" s="139">
        <f t="shared" si="11"/>
        <v>248.38329000000002</v>
      </c>
      <c r="Y160" s="255"/>
      <c r="Z160" s="140">
        <f>248.382924-117.037516</f>
        <v>131.34540800000002</v>
      </c>
      <c r="AA160" s="74"/>
      <c r="AB160" s="76"/>
      <c r="AC160" s="139">
        <f t="shared" si="10"/>
        <v>117.037882</v>
      </c>
      <c r="AD160" s="139">
        <f>117.037516-0.129</f>
        <v>116.90851599999999</v>
      </c>
      <c r="AE160" s="76"/>
      <c r="AF160" s="76">
        <v>0.12936600000000001</v>
      </c>
      <c r="AG160" s="80"/>
      <c r="AH160" s="80"/>
      <c r="AI160" s="80">
        <v>0.23699999999999999</v>
      </c>
      <c r="AJ160" s="62"/>
      <c r="AK160" s="62"/>
      <c r="AL160" s="310"/>
      <c r="AM160" s="38"/>
      <c r="AN160" s="117"/>
      <c r="AO160" s="82">
        <v>502.608</v>
      </c>
      <c r="AP160" s="41"/>
      <c r="AQ160" s="255"/>
      <c r="AR160" s="24"/>
    </row>
    <row r="161" spans="1:44" s="311" customFormat="1" ht="89.25" customHeight="1" x14ac:dyDescent="0.2">
      <c r="A161" s="21" t="s">
        <v>2038</v>
      </c>
      <c r="B161" s="22" t="s">
        <v>2045</v>
      </c>
      <c r="C161" s="22"/>
      <c r="D161" s="56" t="s">
        <v>2044</v>
      </c>
      <c r="E161" s="234" t="s">
        <v>105</v>
      </c>
      <c r="F161" s="322" t="s">
        <v>114</v>
      </c>
      <c r="G161" s="397" t="s">
        <v>133</v>
      </c>
      <c r="H161" s="24" t="s">
        <v>2066</v>
      </c>
      <c r="I161" s="255" t="s">
        <v>2062</v>
      </c>
      <c r="J161" s="255" t="s">
        <v>2063</v>
      </c>
      <c r="K161" s="267" t="s">
        <v>2059</v>
      </c>
      <c r="L161" s="22" t="s">
        <v>1435</v>
      </c>
      <c r="M161" s="22" t="s">
        <v>27</v>
      </c>
      <c r="N161" s="91" t="s">
        <v>2065</v>
      </c>
      <c r="O161" s="41">
        <v>42826</v>
      </c>
      <c r="P161" s="340">
        <v>5</v>
      </c>
      <c r="Q161" s="27">
        <v>42807</v>
      </c>
      <c r="R161" s="255" t="s">
        <v>290</v>
      </c>
      <c r="S161" s="486"/>
      <c r="T161" s="223"/>
      <c r="U161" s="45"/>
      <c r="V161" s="91"/>
      <c r="W161" s="340"/>
      <c r="X161" s="139">
        <f t="shared" si="11"/>
        <v>110.96721099999999</v>
      </c>
      <c r="Y161" s="74" t="s">
        <v>2060</v>
      </c>
      <c r="Z161" s="140">
        <f>12.844905+42.192592</f>
        <v>55.037497000000002</v>
      </c>
      <c r="AA161" s="74"/>
      <c r="AB161" s="25"/>
      <c r="AC161" s="139">
        <f t="shared" si="10"/>
        <v>55.929713999999997</v>
      </c>
      <c r="AD161" s="139">
        <v>55.929713999999997</v>
      </c>
      <c r="AE161" s="76"/>
      <c r="AF161" s="76"/>
      <c r="AG161" s="344"/>
      <c r="AH161" s="80">
        <v>0.51</v>
      </c>
      <c r="AI161" s="58"/>
      <c r="AJ161" s="62"/>
      <c r="AK161" s="62" t="s">
        <v>2061</v>
      </c>
      <c r="AL161" s="310"/>
      <c r="AM161" s="38">
        <v>25.59</v>
      </c>
      <c r="AN161" s="117">
        <f>85450/AM161</f>
        <v>3339.1949980461118</v>
      </c>
      <c r="AO161" s="82"/>
      <c r="AP161" s="41"/>
      <c r="AQ161" s="255"/>
      <c r="AR161" s="24"/>
    </row>
    <row r="162" spans="1:44" s="311" customFormat="1" ht="89.25" customHeight="1" x14ac:dyDescent="0.2">
      <c r="A162" s="21" t="s">
        <v>2038</v>
      </c>
      <c r="B162" s="22" t="s">
        <v>2125</v>
      </c>
      <c r="C162" s="22"/>
      <c r="D162" s="56" t="s">
        <v>2134</v>
      </c>
      <c r="E162" s="483" t="s">
        <v>109</v>
      </c>
      <c r="F162" s="484" t="s">
        <v>125</v>
      </c>
      <c r="G162" s="487" t="s">
        <v>79</v>
      </c>
      <c r="H162" s="24"/>
      <c r="I162" s="255" t="s">
        <v>2159</v>
      </c>
      <c r="J162" s="255" t="s">
        <v>2158</v>
      </c>
      <c r="K162" s="267" t="s">
        <v>2136</v>
      </c>
      <c r="L162" s="22" t="s">
        <v>2156</v>
      </c>
      <c r="M162" s="22" t="s">
        <v>1841</v>
      </c>
      <c r="N162" s="91" t="s">
        <v>2157</v>
      </c>
      <c r="O162" s="41">
        <v>43466</v>
      </c>
      <c r="P162" s="340">
        <v>12</v>
      </c>
      <c r="Q162" s="27">
        <v>43117</v>
      </c>
      <c r="R162" s="255" t="s">
        <v>290</v>
      </c>
      <c r="S162" s="486"/>
      <c r="T162" s="223"/>
      <c r="U162" s="45"/>
      <c r="V162" s="91"/>
      <c r="W162" s="323"/>
      <c r="X162" s="139">
        <f t="shared" si="11"/>
        <v>344.29286500000001</v>
      </c>
      <c r="Y162" s="255"/>
      <c r="Z162" s="140">
        <f>344.292865-80.718</f>
        <v>263.57486499999999</v>
      </c>
      <c r="AA162" s="74"/>
      <c r="AB162" s="76"/>
      <c r="AC162" s="139">
        <f t="shared" si="10"/>
        <v>80.718000000000004</v>
      </c>
      <c r="AD162" s="139">
        <f>80.718-0.08</f>
        <v>80.638000000000005</v>
      </c>
      <c r="AE162" s="76"/>
      <c r="AF162" s="76">
        <v>0.08</v>
      </c>
      <c r="AG162" s="80"/>
      <c r="AH162" s="80"/>
      <c r="AI162" s="80">
        <v>0.1716</v>
      </c>
      <c r="AJ162" s="62"/>
      <c r="AK162" s="62"/>
      <c r="AL162" s="310"/>
      <c r="AM162" s="38"/>
      <c r="AN162" s="117"/>
      <c r="AO162" s="82"/>
      <c r="AP162" s="41"/>
      <c r="AQ162" s="255"/>
      <c r="AR162" s="24"/>
    </row>
    <row r="163" spans="1:44" s="311" customFormat="1" ht="89.25" customHeight="1" x14ac:dyDescent="0.2">
      <c r="A163" s="21" t="s">
        <v>2039</v>
      </c>
      <c r="B163" s="22" t="s">
        <v>2047</v>
      </c>
      <c r="C163" s="22"/>
      <c r="D163" s="56" t="s">
        <v>2046</v>
      </c>
      <c r="E163" s="234" t="s">
        <v>105</v>
      </c>
      <c r="F163" s="322" t="s">
        <v>114</v>
      </c>
      <c r="G163" s="397" t="s">
        <v>133</v>
      </c>
      <c r="H163" s="24" t="s">
        <v>2072</v>
      </c>
      <c r="I163" s="255" t="s">
        <v>2070</v>
      </c>
      <c r="J163" s="255" t="s">
        <v>2071</v>
      </c>
      <c r="K163" s="267" t="s">
        <v>2067</v>
      </c>
      <c r="L163" s="22" t="s">
        <v>608</v>
      </c>
      <c r="M163" s="22" t="s">
        <v>607</v>
      </c>
      <c r="N163" s="22" t="s">
        <v>1011</v>
      </c>
      <c r="O163" s="41">
        <v>42826</v>
      </c>
      <c r="P163" s="340">
        <v>5</v>
      </c>
      <c r="Q163" s="27">
        <v>42807</v>
      </c>
      <c r="R163" s="255" t="s">
        <v>290</v>
      </c>
      <c r="S163" s="486"/>
      <c r="T163" s="223"/>
      <c r="U163" s="45"/>
      <c r="V163" s="91"/>
      <c r="W163" s="340"/>
      <c r="X163" s="139">
        <f t="shared" si="11"/>
        <v>131</v>
      </c>
      <c r="Y163" s="74" t="s">
        <v>2068</v>
      </c>
      <c r="Z163" s="140">
        <f>6+86</f>
        <v>92</v>
      </c>
      <c r="AA163" s="74"/>
      <c r="AB163" s="25"/>
      <c r="AC163" s="139">
        <f t="shared" si="10"/>
        <v>39</v>
      </c>
      <c r="AD163" s="139">
        <v>37</v>
      </c>
      <c r="AE163" s="76"/>
      <c r="AF163" s="76">
        <v>2</v>
      </c>
      <c r="AG163" s="344"/>
      <c r="AH163" s="80">
        <v>1.6</v>
      </c>
      <c r="AI163" s="58"/>
      <c r="AJ163" s="62"/>
      <c r="AK163" s="62" t="s">
        <v>2069</v>
      </c>
      <c r="AL163" s="310"/>
      <c r="AM163" s="38"/>
      <c r="AN163" s="117"/>
      <c r="AO163" s="82"/>
      <c r="AP163" s="41"/>
      <c r="AQ163" s="255"/>
      <c r="AR163" s="24"/>
    </row>
    <row r="164" spans="1:44" s="311" customFormat="1" ht="89.25" customHeight="1" x14ac:dyDescent="0.2">
      <c r="A164" s="21" t="s">
        <v>2039</v>
      </c>
      <c r="B164" s="22" t="s">
        <v>2126</v>
      </c>
      <c r="C164" s="22"/>
      <c r="D164" s="56" t="s">
        <v>2135</v>
      </c>
      <c r="E164" s="483" t="s">
        <v>109</v>
      </c>
      <c r="F164" s="484" t="s">
        <v>125</v>
      </c>
      <c r="G164" s="487" t="s">
        <v>79</v>
      </c>
      <c r="H164" s="24"/>
      <c r="I164" s="255" t="s">
        <v>2168</v>
      </c>
      <c r="J164" s="255" t="s">
        <v>2170</v>
      </c>
      <c r="K164" s="267" t="s">
        <v>2136</v>
      </c>
      <c r="L164" s="22" t="s">
        <v>650</v>
      </c>
      <c r="M164" s="22" t="s">
        <v>650</v>
      </c>
      <c r="N164" s="91" t="s">
        <v>651</v>
      </c>
      <c r="O164" s="41">
        <v>43101</v>
      </c>
      <c r="P164" s="340">
        <v>12</v>
      </c>
      <c r="Q164" s="27">
        <v>43117</v>
      </c>
      <c r="R164" s="255" t="s">
        <v>290</v>
      </c>
      <c r="S164" s="486" t="s">
        <v>2169</v>
      </c>
      <c r="T164" s="223"/>
      <c r="U164" s="45"/>
      <c r="V164" s="91"/>
      <c r="W164" s="323"/>
      <c r="X164" s="139">
        <f t="shared" si="11"/>
        <v>105.30724499999999</v>
      </c>
      <c r="Y164" s="255"/>
      <c r="Z164" s="140">
        <f>105.307245-94.218952</f>
        <v>11.088292999999993</v>
      </c>
      <c r="AA164" s="74"/>
      <c r="AB164" s="76"/>
      <c r="AC164" s="139">
        <f t="shared" si="10"/>
        <v>94.218952000000002</v>
      </c>
      <c r="AD164" s="139">
        <f>94.218952-1.115783</f>
        <v>93.103169000000008</v>
      </c>
      <c r="AE164" s="76"/>
      <c r="AF164" s="76">
        <v>1.115783</v>
      </c>
      <c r="AG164" s="80"/>
      <c r="AH164" s="80"/>
      <c r="AI164" s="80">
        <v>1.1200000000000001</v>
      </c>
      <c r="AJ164" s="62"/>
      <c r="AK164" s="62"/>
      <c r="AL164" s="310"/>
      <c r="AM164" s="38"/>
      <c r="AN164" s="117"/>
      <c r="AO164" s="82"/>
      <c r="AP164" s="41"/>
      <c r="AQ164" s="255"/>
      <c r="AR164" s="24"/>
    </row>
    <row r="165" spans="1:44" s="311" customFormat="1" ht="89.25" customHeight="1" x14ac:dyDescent="0.2">
      <c r="A165" s="21" t="s">
        <v>2127</v>
      </c>
      <c r="B165" s="22" t="s">
        <v>2128</v>
      </c>
      <c r="C165" s="22"/>
      <c r="D165" s="56" t="s">
        <v>2171</v>
      </c>
      <c r="E165" s="483" t="s">
        <v>109</v>
      </c>
      <c r="F165" s="484" t="s">
        <v>125</v>
      </c>
      <c r="G165" s="487" t="s">
        <v>79</v>
      </c>
      <c r="H165" s="24"/>
      <c r="I165" s="255" t="s">
        <v>2172</v>
      </c>
      <c r="J165" s="255" t="s">
        <v>2173</v>
      </c>
      <c r="K165" s="267" t="s">
        <v>2136</v>
      </c>
      <c r="L165" s="22" t="s">
        <v>436</v>
      </c>
      <c r="M165" s="22" t="s">
        <v>648</v>
      </c>
      <c r="N165" s="91" t="s">
        <v>1020</v>
      </c>
      <c r="O165" s="41">
        <v>43101</v>
      </c>
      <c r="P165" s="340">
        <v>5</v>
      </c>
      <c r="Q165" s="27">
        <v>43117</v>
      </c>
      <c r="R165" s="255" t="s">
        <v>290</v>
      </c>
      <c r="S165" s="488"/>
      <c r="T165" s="223"/>
      <c r="U165" s="45"/>
      <c r="V165" s="91"/>
      <c r="W165" s="323"/>
      <c r="X165" s="139">
        <f t="shared" si="11"/>
        <v>5.6277919999999995</v>
      </c>
      <c r="Y165" s="255"/>
      <c r="Z165" s="140">
        <f>5.627426-4</f>
        <v>1.6274259999999998</v>
      </c>
      <c r="AA165" s="74"/>
      <c r="AB165" s="76"/>
      <c r="AC165" s="139">
        <f t="shared" si="10"/>
        <v>4.0003659999999996</v>
      </c>
      <c r="AD165" s="139">
        <f>4-0.129</f>
        <v>3.871</v>
      </c>
      <c r="AE165" s="76"/>
      <c r="AF165" s="76">
        <v>0.12936600000000001</v>
      </c>
      <c r="AG165" s="80"/>
      <c r="AH165" s="80"/>
      <c r="AI165" s="80">
        <v>6.9000000000000006E-2</v>
      </c>
      <c r="AJ165" s="62"/>
      <c r="AK165" s="62"/>
      <c r="AL165" s="310"/>
      <c r="AM165" s="38"/>
      <c r="AN165" s="117"/>
      <c r="AO165" s="82"/>
      <c r="AP165" s="41"/>
      <c r="AQ165" s="255"/>
      <c r="AR165" s="24"/>
    </row>
    <row r="166" spans="1:44" s="311" customFormat="1" ht="89.25" customHeight="1" x14ac:dyDescent="0.2">
      <c r="A166" s="21" t="s">
        <v>2160</v>
      </c>
      <c r="B166" s="22" t="s">
        <v>2161</v>
      </c>
      <c r="C166" s="22"/>
      <c r="D166" s="56" t="s">
        <v>2174</v>
      </c>
      <c r="E166" s="483" t="s">
        <v>109</v>
      </c>
      <c r="F166" s="484" t="s">
        <v>125</v>
      </c>
      <c r="G166" s="487" t="s">
        <v>79</v>
      </c>
      <c r="H166" s="24"/>
      <c r="I166" s="255" t="s">
        <v>2178</v>
      </c>
      <c r="J166" s="255" t="s">
        <v>2177</v>
      </c>
      <c r="K166" s="267" t="s">
        <v>2136</v>
      </c>
      <c r="L166" s="22" t="s">
        <v>436</v>
      </c>
      <c r="M166" s="22" t="s">
        <v>2175</v>
      </c>
      <c r="N166" s="91" t="s">
        <v>2176</v>
      </c>
      <c r="O166" s="41">
        <v>43101</v>
      </c>
      <c r="P166" s="340">
        <v>10</v>
      </c>
      <c r="Q166" s="27">
        <v>43117</v>
      </c>
      <c r="R166" s="255" t="s">
        <v>290</v>
      </c>
      <c r="S166" s="488"/>
      <c r="T166" s="223"/>
      <c r="U166" s="45"/>
      <c r="V166" s="91"/>
      <c r="W166" s="323"/>
      <c r="X166" s="139">
        <f t="shared" si="11"/>
        <v>257.5</v>
      </c>
      <c r="Y166" s="255"/>
      <c r="Z166" s="140">
        <f>257.5-180.25</f>
        <v>77.25</v>
      </c>
      <c r="AA166" s="74"/>
      <c r="AB166" s="76"/>
      <c r="AC166" s="139">
        <f t="shared" si="10"/>
        <v>180.25</v>
      </c>
      <c r="AD166" s="139">
        <f>180.25-41-0.3</f>
        <v>138.94999999999999</v>
      </c>
      <c r="AE166" s="76">
        <v>41</v>
      </c>
      <c r="AF166" s="76">
        <v>0.3</v>
      </c>
      <c r="AG166" s="69"/>
      <c r="AH166" s="80"/>
      <c r="AI166" s="69">
        <v>1.218</v>
      </c>
      <c r="AJ166" s="62"/>
      <c r="AK166" s="62"/>
      <c r="AL166" s="310"/>
      <c r="AM166" s="38"/>
      <c r="AN166" s="117"/>
      <c r="AO166" s="82"/>
      <c r="AP166" s="41"/>
      <c r="AQ166" s="255"/>
      <c r="AR166" s="24"/>
    </row>
    <row r="167" spans="1:44" s="311" customFormat="1" ht="89.25" customHeight="1" x14ac:dyDescent="0.2">
      <c r="A167" s="21" t="s">
        <v>2162</v>
      </c>
      <c r="B167" s="22" t="s">
        <v>2163</v>
      </c>
      <c r="C167" s="22"/>
      <c r="D167" s="56" t="s">
        <v>2180</v>
      </c>
      <c r="E167" s="483" t="s">
        <v>109</v>
      </c>
      <c r="F167" s="484" t="s">
        <v>125</v>
      </c>
      <c r="G167" s="487" t="s">
        <v>79</v>
      </c>
      <c r="H167" s="24"/>
      <c r="I167" s="255" t="s">
        <v>2183</v>
      </c>
      <c r="J167" s="255" t="s">
        <v>2184</v>
      </c>
      <c r="K167" s="267" t="s">
        <v>2136</v>
      </c>
      <c r="L167" s="22" t="s">
        <v>749</v>
      </c>
      <c r="M167" s="22" t="s">
        <v>2181</v>
      </c>
      <c r="N167" s="22" t="s">
        <v>2181</v>
      </c>
      <c r="O167" s="41">
        <v>43101</v>
      </c>
      <c r="P167" s="340">
        <v>14</v>
      </c>
      <c r="Q167" s="27">
        <v>43117</v>
      </c>
      <c r="R167" s="255" t="s">
        <v>290</v>
      </c>
      <c r="S167" s="488" t="s">
        <v>2182</v>
      </c>
      <c r="T167" s="223"/>
      <c r="U167" s="45"/>
      <c r="V167" s="91"/>
      <c r="W167" s="323"/>
      <c r="X167" s="139">
        <f t="shared" si="11"/>
        <v>150.94968700000001</v>
      </c>
      <c r="Y167" s="255"/>
      <c r="Z167" s="140">
        <f>150.949687-110.552274</f>
        <v>40.397413000000014</v>
      </c>
      <c r="AA167" s="74"/>
      <c r="AB167" s="76"/>
      <c r="AC167" s="139">
        <f t="shared" si="10"/>
        <v>110.552274</v>
      </c>
      <c r="AD167" s="139">
        <f>110.552274-2.587322</f>
        <v>107.964952</v>
      </c>
      <c r="AE167" s="76"/>
      <c r="AF167" s="76">
        <v>2.5873219999999999</v>
      </c>
      <c r="AG167" s="344"/>
      <c r="AH167" s="80"/>
      <c r="AI167" s="58">
        <v>5.15</v>
      </c>
      <c r="AJ167" s="62"/>
      <c r="AK167" s="62"/>
      <c r="AL167" s="310"/>
      <c r="AM167" s="38"/>
      <c r="AN167" s="117"/>
      <c r="AO167" s="82"/>
      <c r="AP167" s="41"/>
      <c r="AQ167" s="255"/>
      <c r="AR167" s="24"/>
    </row>
    <row r="168" spans="1:44" s="311" customFormat="1" ht="89.25" customHeight="1" x14ac:dyDescent="0.2">
      <c r="A168" s="21" t="s">
        <v>2164</v>
      </c>
      <c r="B168" s="22" t="s">
        <v>2165</v>
      </c>
      <c r="C168" s="22"/>
      <c r="D168" s="56" t="s">
        <v>2185</v>
      </c>
      <c r="E168" s="483" t="s">
        <v>109</v>
      </c>
      <c r="F168" s="484" t="s">
        <v>125</v>
      </c>
      <c r="G168" s="487" t="s">
        <v>79</v>
      </c>
      <c r="H168" s="24"/>
      <c r="I168" s="255" t="s">
        <v>2189</v>
      </c>
      <c r="J168" s="255" t="s">
        <v>2188</v>
      </c>
      <c r="K168" s="267" t="s">
        <v>2136</v>
      </c>
      <c r="L168" s="22" t="s">
        <v>2191</v>
      </c>
      <c r="M168" s="22" t="s">
        <v>298</v>
      </c>
      <c r="N168" s="22" t="s">
        <v>2190</v>
      </c>
      <c r="O168" s="41">
        <v>43101</v>
      </c>
      <c r="P168" s="340">
        <v>8</v>
      </c>
      <c r="Q168" s="27">
        <v>43117</v>
      </c>
      <c r="R168" s="255" t="s">
        <v>290</v>
      </c>
      <c r="S168" s="488" t="s">
        <v>2187</v>
      </c>
      <c r="T168" s="223"/>
      <c r="U168" s="45"/>
      <c r="V168" s="91"/>
      <c r="W168" s="323"/>
      <c r="X168" s="139">
        <f t="shared" si="11"/>
        <v>93.764554000000004</v>
      </c>
      <c r="Y168" s="255"/>
      <c r="Z168" s="140">
        <f>93.764554-84.359638</f>
        <v>9.4049160000000001</v>
      </c>
      <c r="AA168" s="74"/>
      <c r="AB168" s="76"/>
      <c r="AC168" s="139">
        <f t="shared" si="10"/>
        <v>84.359638000000004</v>
      </c>
      <c r="AD168" s="139">
        <f>84.359638-0.0207-0.284605</f>
        <v>84.054333</v>
      </c>
      <c r="AE168" s="76">
        <v>2.07E-2</v>
      </c>
      <c r="AF168" s="76">
        <v>0.284605</v>
      </c>
      <c r="AG168" s="344"/>
      <c r="AH168" s="80"/>
      <c r="AI168" s="58">
        <v>4.37</v>
      </c>
      <c r="AJ168" s="62"/>
      <c r="AK168" s="62"/>
      <c r="AL168" s="310"/>
      <c r="AM168" s="38"/>
      <c r="AN168" s="117"/>
      <c r="AO168" s="82"/>
      <c r="AP168" s="41"/>
      <c r="AQ168" s="255"/>
      <c r="AR168" s="24"/>
    </row>
    <row r="169" spans="1:44" s="311" customFormat="1" ht="89.25" customHeight="1" x14ac:dyDescent="0.2">
      <c r="A169" s="21" t="s">
        <v>2166</v>
      </c>
      <c r="B169" s="22" t="s">
        <v>2167</v>
      </c>
      <c r="C169" s="22"/>
      <c r="D169" s="56" t="s">
        <v>2186</v>
      </c>
      <c r="E169" s="483" t="s">
        <v>109</v>
      </c>
      <c r="F169" s="484" t="s">
        <v>125</v>
      </c>
      <c r="G169" s="487" t="s">
        <v>79</v>
      </c>
      <c r="H169" s="24"/>
      <c r="I169" s="255" t="s">
        <v>2192</v>
      </c>
      <c r="J169" s="255" t="s">
        <v>2193</v>
      </c>
      <c r="K169" s="267" t="s">
        <v>2136</v>
      </c>
      <c r="L169" s="22" t="s">
        <v>608</v>
      </c>
      <c r="M169" s="22" t="s">
        <v>607</v>
      </c>
      <c r="N169" s="91" t="s">
        <v>609</v>
      </c>
      <c r="O169" s="41">
        <v>43101</v>
      </c>
      <c r="P169" s="340">
        <v>15</v>
      </c>
      <c r="Q169" s="27">
        <v>43117</v>
      </c>
      <c r="R169" s="255" t="s">
        <v>290</v>
      </c>
      <c r="S169" s="488"/>
      <c r="T169" s="223"/>
      <c r="U169" s="45"/>
      <c r="V169" s="91"/>
      <c r="W169" s="323"/>
      <c r="X169" s="139">
        <f t="shared" si="11"/>
        <v>15.027976000000001</v>
      </c>
      <c r="Y169" s="255"/>
      <c r="Z169" s="140">
        <f>15.027976-8.349675</f>
        <v>6.6783010000000012</v>
      </c>
      <c r="AA169" s="74"/>
      <c r="AB169" s="76"/>
      <c r="AC169" s="139">
        <f t="shared" si="10"/>
        <v>8.3496749999999995</v>
      </c>
      <c r="AD169" s="139">
        <f>8.349675-0.75</f>
        <v>7.5996749999999995</v>
      </c>
      <c r="AE169" s="76"/>
      <c r="AF169" s="76">
        <v>0.75</v>
      </c>
      <c r="AG169" s="344"/>
      <c r="AH169" s="80"/>
      <c r="AI169" s="58">
        <v>3.387</v>
      </c>
      <c r="AJ169" s="62"/>
      <c r="AK169" s="62"/>
      <c r="AL169" s="310"/>
      <c r="AM169" s="38">
        <f>4*10</f>
        <v>40</v>
      </c>
      <c r="AN169" s="117"/>
      <c r="AO169" s="82"/>
      <c r="AP169" s="41"/>
      <c r="AQ169" s="255"/>
      <c r="AR169" s="24"/>
    </row>
    <row r="170" spans="1:44" s="311" customFormat="1" ht="89.25" customHeight="1" x14ac:dyDescent="0.2">
      <c r="A170" s="21" t="s">
        <v>2194</v>
      </c>
      <c r="B170" s="22" t="s">
        <v>2196</v>
      </c>
      <c r="C170" s="22"/>
      <c r="D170" s="56" t="s">
        <v>2195</v>
      </c>
      <c r="E170" s="88" t="s">
        <v>106</v>
      </c>
      <c r="F170" s="89" t="s">
        <v>124</v>
      </c>
      <c r="G170" s="90" t="s">
        <v>73</v>
      </c>
      <c r="H170" s="24"/>
      <c r="I170" s="255" t="s">
        <v>2200</v>
      </c>
      <c r="J170" s="255" t="s">
        <v>2202</v>
      </c>
      <c r="K170" s="267" t="s">
        <v>2197</v>
      </c>
      <c r="L170" s="22" t="s">
        <v>749</v>
      </c>
      <c r="M170" s="22" t="s">
        <v>2203</v>
      </c>
      <c r="N170" s="91" t="s">
        <v>2204</v>
      </c>
      <c r="O170" s="41">
        <v>43101</v>
      </c>
      <c r="P170" s="340">
        <v>15</v>
      </c>
      <c r="Q170" s="27">
        <v>43118</v>
      </c>
      <c r="R170" s="255" t="s">
        <v>290</v>
      </c>
      <c r="S170" s="488" t="s">
        <v>2201</v>
      </c>
      <c r="T170" s="223"/>
      <c r="U170" s="45"/>
      <c r="V170" s="91"/>
      <c r="W170" s="323"/>
      <c r="X170" s="139">
        <f t="shared" si="11"/>
        <v>32.633547</v>
      </c>
      <c r="Y170" s="255"/>
      <c r="Z170" s="140">
        <f>32.633798-12.705304</f>
        <v>19.928494000000001</v>
      </c>
      <c r="AA170" s="74"/>
      <c r="AB170" s="76"/>
      <c r="AC170" s="139">
        <f t="shared" si="10"/>
        <v>12.705052999999999</v>
      </c>
      <c r="AD170" s="139">
        <f>12.705304-5.29-2.801304</f>
        <v>4.6139999999999999</v>
      </c>
      <c r="AE170" s="76">
        <v>5.29</v>
      </c>
      <c r="AF170" s="76">
        <v>2.801053</v>
      </c>
      <c r="AG170" s="344"/>
      <c r="AH170" s="80"/>
      <c r="AI170" s="58">
        <v>22.7</v>
      </c>
      <c r="AJ170" s="62" t="s">
        <v>2199</v>
      </c>
      <c r="AK170" s="62" t="s">
        <v>2198</v>
      </c>
      <c r="AL170" s="310"/>
      <c r="AM170" s="38"/>
      <c r="AN170" s="117"/>
      <c r="AO170" s="82"/>
      <c r="AP170" s="41"/>
      <c r="AQ170" s="255"/>
      <c r="AR170" s="24"/>
    </row>
    <row r="171" spans="1:44" s="311" customFormat="1" ht="89.25" customHeight="1" x14ac:dyDescent="0.2">
      <c r="A171" s="21" t="s">
        <v>2210</v>
      </c>
      <c r="B171" s="22" t="s">
        <v>2209</v>
      </c>
      <c r="C171" s="22"/>
      <c r="D171" s="56" t="s">
        <v>2208</v>
      </c>
      <c r="E171" s="234" t="s">
        <v>112</v>
      </c>
      <c r="F171" s="235" t="s">
        <v>115</v>
      </c>
      <c r="G171" s="397" t="s">
        <v>1419</v>
      </c>
      <c r="H171" s="24"/>
      <c r="I171" s="255" t="s">
        <v>2214</v>
      </c>
      <c r="J171" s="255" t="s">
        <v>2224</v>
      </c>
      <c r="K171" s="267" t="s">
        <v>2212</v>
      </c>
      <c r="L171" s="22" t="s">
        <v>434</v>
      </c>
      <c r="M171" s="22" t="s">
        <v>2215</v>
      </c>
      <c r="N171" s="91" t="s">
        <v>1693</v>
      </c>
      <c r="O171" s="41">
        <v>43101</v>
      </c>
      <c r="P171" s="340">
        <v>4</v>
      </c>
      <c r="Q171" s="27">
        <v>43125</v>
      </c>
      <c r="R171" s="255" t="s">
        <v>312</v>
      </c>
      <c r="S171" s="489" t="s">
        <v>2213</v>
      </c>
      <c r="T171" s="223"/>
      <c r="U171" s="45"/>
      <c r="V171" s="91"/>
      <c r="W171" s="323"/>
      <c r="X171" s="139">
        <f t="shared" si="11"/>
        <v>5.4285709999999998</v>
      </c>
      <c r="Y171" s="255"/>
      <c r="Z171" s="140">
        <v>5.4285709999999998</v>
      </c>
      <c r="AA171" s="74"/>
      <c r="AB171" s="76"/>
      <c r="AC171" s="139">
        <f t="shared" si="10"/>
        <v>0</v>
      </c>
      <c r="AD171" s="139"/>
      <c r="AE171" s="76"/>
      <c r="AF171" s="76"/>
      <c r="AG171" s="344"/>
      <c r="AH171" s="80">
        <v>1.6339999999999999</v>
      </c>
      <c r="AI171" s="58"/>
      <c r="AJ171" s="62"/>
      <c r="AK171" s="62" t="s">
        <v>2216</v>
      </c>
      <c r="AL171" s="310"/>
      <c r="AM171" s="38"/>
      <c r="AN171" s="117"/>
      <c r="AO171" s="82"/>
      <c r="AP171" s="41"/>
      <c r="AQ171" s="255"/>
      <c r="AR171" s="24"/>
    </row>
    <row r="172" spans="1:44" s="311" customFormat="1" ht="89.25" customHeight="1" x14ac:dyDescent="0.2">
      <c r="A172" s="21" t="s">
        <v>2211</v>
      </c>
      <c r="B172" s="22" t="s">
        <v>2207</v>
      </c>
      <c r="C172" s="22"/>
      <c r="D172" s="56" t="s">
        <v>2206</v>
      </c>
      <c r="E172" s="234" t="s">
        <v>112</v>
      </c>
      <c r="F172" s="235" t="s">
        <v>115</v>
      </c>
      <c r="G172" s="397" t="s">
        <v>1419</v>
      </c>
      <c r="H172" s="24"/>
      <c r="I172" s="255" t="s">
        <v>2220</v>
      </c>
      <c r="J172" s="255" t="s">
        <v>2221</v>
      </c>
      <c r="K172" s="267" t="s">
        <v>2217</v>
      </c>
      <c r="L172" s="22" t="s">
        <v>434</v>
      </c>
      <c r="M172" s="22" t="s">
        <v>2222</v>
      </c>
      <c r="N172" s="91" t="s">
        <v>1693</v>
      </c>
      <c r="O172" s="41">
        <v>43101</v>
      </c>
      <c r="P172" s="340">
        <v>5</v>
      </c>
      <c r="Q172" s="27">
        <v>43125</v>
      </c>
      <c r="R172" s="255" t="s">
        <v>290</v>
      </c>
      <c r="S172" s="488" t="s">
        <v>2223</v>
      </c>
      <c r="T172" s="223"/>
      <c r="U172" s="45"/>
      <c r="V172" s="91"/>
      <c r="W172" s="323"/>
      <c r="X172" s="139">
        <f t="shared" si="11"/>
        <v>912.46</v>
      </c>
      <c r="Y172" s="255"/>
      <c r="Z172" s="140">
        <f>912.46-13.04</f>
        <v>899.42000000000007</v>
      </c>
      <c r="AA172" s="74"/>
      <c r="AB172" s="76"/>
      <c r="AC172" s="139">
        <f t="shared" si="10"/>
        <v>13.040000000000001</v>
      </c>
      <c r="AD172" s="139">
        <v>7.36</v>
      </c>
      <c r="AE172" s="76">
        <v>3.18</v>
      </c>
      <c r="AF172" s="76">
        <v>2.5</v>
      </c>
      <c r="AG172" s="344"/>
      <c r="AH172" s="80">
        <v>0.30399999999999999</v>
      </c>
      <c r="AI172" s="58"/>
      <c r="AJ172" s="62" t="s">
        <v>2218</v>
      </c>
      <c r="AK172" s="62" t="s">
        <v>2219</v>
      </c>
      <c r="AL172" s="310"/>
      <c r="AM172" s="38"/>
      <c r="AN172" s="117"/>
      <c r="AO172" s="82"/>
      <c r="AP172" s="41"/>
      <c r="AQ172" s="255"/>
      <c r="AR172" s="24"/>
    </row>
    <row r="173" spans="1:44" s="311" customFormat="1" ht="78" customHeight="1" x14ac:dyDescent="0.2">
      <c r="A173" s="21" t="s">
        <v>2225</v>
      </c>
      <c r="B173" s="22" t="s">
        <v>2226</v>
      </c>
      <c r="C173" s="22"/>
      <c r="D173" s="56" t="s">
        <v>2227</v>
      </c>
      <c r="E173" s="132" t="s">
        <v>106</v>
      </c>
      <c r="F173" s="133" t="s">
        <v>121</v>
      </c>
      <c r="G173" s="397" t="s">
        <v>199</v>
      </c>
      <c r="H173" s="24"/>
      <c r="I173" s="255" t="s">
        <v>2230</v>
      </c>
      <c r="J173" s="255" t="s">
        <v>2231</v>
      </c>
      <c r="K173" s="267" t="s">
        <v>2228</v>
      </c>
      <c r="L173" s="22" t="s">
        <v>1420</v>
      </c>
      <c r="M173" s="22" t="s">
        <v>1121</v>
      </c>
      <c r="N173" s="91" t="s">
        <v>2229</v>
      </c>
      <c r="O173" s="41">
        <v>43282</v>
      </c>
      <c r="P173" s="340">
        <v>0.6</v>
      </c>
      <c r="Q173" s="27">
        <v>43146</v>
      </c>
      <c r="R173" s="255" t="s">
        <v>288</v>
      </c>
      <c r="S173" s="499" t="s">
        <v>2232</v>
      </c>
      <c r="T173" s="223"/>
      <c r="U173" s="45"/>
      <c r="V173" s="91"/>
      <c r="W173" s="323"/>
      <c r="X173" s="139">
        <f t="shared" si="11"/>
        <v>0.35</v>
      </c>
      <c r="Y173" s="255"/>
      <c r="Z173" s="140">
        <v>0</v>
      </c>
      <c r="AA173" s="74"/>
      <c r="AB173" s="76"/>
      <c r="AC173" s="139">
        <f t="shared" si="10"/>
        <v>0.35</v>
      </c>
      <c r="AD173" s="139">
        <v>0.35</v>
      </c>
      <c r="AE173" s="76"/>
      <c r="AF173" s="76"/>
      <c r="AG173" s="344"/>
      <c r="AH173" s="80"/>
      <c r="AI173" s="58"/>
      <c r="AJ173" s="62"/>
      <c r="AK173" s="62"/>
      <c r="AL173" s="310"/>
      <c r="AM173" s="38"/>
      <c r="AN173" s="117"/>
      <c r="AO173" s="82"/>
      <c r="AP173" s="41"/>
      <c r="AQ173" s="255"/>
      <c r="AR173" s="24"/>
    </row>
    <row r="174" spans="1:44" s="311" customFormat="1" ht="78" customHeight="1" x14ac:dyDescent="0.2">
      <c r="A174" s="200" t="s">
        <v>2234</v>
      </c>
      <c r="B174" s="201" t="s">
        <v>2235</v>
      </c>
      <c r="C174" s="201"/>
      <c r="D174" s="202" t="s">
        <v>2233</v>
      </c>
      <c r="E174" s="225" t="s">
        <v>106</v>
      </c>
      <c r="F174" s="226" t="s">
        <v>121</v>
      </c>
      <c r="G174" s="405" t="s">
        <v>1809</v>
      </c>
      <c r="H174" s="203"/>
      <c r="I174" s="270" t="s">
        <v>2238</v>
      </c>
      <c r="J174" s="270" t="s">
        <v>2237</v>
      </c>
      <c r="K174" s="320" t="s">
        <v>2236</v>
      </c>
      <c r="L174" s="201" t="s">
        <v>1420</v>
      </c>
      <c r="M174" s="201" t="s">
        <v>1121</v>
      </c>
      <c r="N174" s="218" t="s">
        <v>2229</v>
      </c>
      <c r="O174" s="216">
        <v>43466</v>
      </c>
      <c r="P174" s="219">
        <v>10</v>
      </c>
      <c r="Q174" s="209">
        <v>43154</v>
      </c>
      <c r="R174" s="270" t="s">
        <v>290</v>
      </c>
      <c r="S174" s="269" t="s">
        <v>2239</v>
      </c>
      <c r="T174" s="224"/>
      <c r="U174" s="206"/>
      <c r="V174" s="218" t="s">
        <v>663</v>
      </c>
      <c r="W174" s="321">
        <f>10.9/0.84</f>
        <v>12.976190476190476</v>
      </c>
      <c r="X174" s="276">
        <f t="shared" si="11"/>
        <v>14.230271999999999</v>
      </c>
      <c r="Y174" s="270"/>
      <c r="Z174" s="302">
        <v>0</v>
      </c>
      <c r="AA174" s="212"/>
      <c r="AB174" s="275"/>
      <c r="AC174" s="276">
        <f t="shared" si="10"/>
        <v>14.230271999999999</v>
      </c>
      <c r="AD174" s="276">
        <v>14.230271999999999</v>
      </c>
      <c r="AE174" s="275"/>
      <c r="AF174" s="275"/>
      <c r="AG174" s="257"/>
      <c r="AH174" s="387">
        <f>0.225*2.3</f>
        <v>0.51749999999999996</v>
      </c>
      <c r="AI174" s="214">
        <v>7.1</v>
      </c>
      <c r="AJ174" s="215"/>
      <c r="AK174" s="215" t="s">
        <v>2240</v>
      </c>
      <c r="AL174" s="314"/>
      <c r="AM174" s="211"/>
      <c r="AN174" s="479"/>
      <c r="AO174" s="208"/>
      <c r="AP174" s="216"/>
      <c r="AQ174" s="270"/>
      <c r="AR174" s="203"/>
    </row>
    <row r="175" spans="1:44" s="311" customFormat="1" ht="81" customHeight="1" x14ac:dyDescent="0.2">
      <c r="A175" s="21" t="s">
        <v>2248</v>
      </c>
      <c r="B175" s="22" t="s">
        <v>2253</v>
      </c>
      <c r="C175" s="22"/>
      <c r="D175" s="56" t="s">
        <v>2254</v>
      </c>
      <c r="E175" s="88" t="s">
        <v>106</v>
      </c>
      <c r="F175" s="133" t="s">
        <v>121</v>
      </c>
      <c r="G175" s="397" t="s">
        <v>1809</v>
      </c>
      <c r="H175" s="24"/>
      <c r="I175" s="255" t="s">
        <v>2257</v>
      </c>
      <c r="J175" s="310" t="s">
        <v>2258</v>
      </c>
      <c r="K175" s="28" t="s">
        <v>2255</v>
      </c>
      <c r="L175" s="22" t="s">
        <v>436</v>
      </c>
      <c r="M175" s="22" t="s">
        <v>2260</v>
      </c>
      <c r="N175" s="22" t="s">
        <v>2260</v>
      </c>
      <c r="O175" s="41">
        <v>43194</v>
      </c>
      <c r="P175" s="340">
        <v>0.7</v>
      </c>
      <c r="Q175" s="27">
        <v>43174</v>
      </c>
      <c r="R175" s="255" t="s">
        <v>288</v>
      </c>
      <c r="S175" s="501" t="s">
        <v>2256</v>
      </c>
      <c r="T175" s="223"/>
      <c r="U175" s="45"/>
      <c r="V175" s="91"/>
      <c r="W175" s="323"/>
      <c r="X175" s="139">
        <f t="shared" si="11"/>
        <v>0.36</v>
      </c>
      <c r="Y175" s="255"/>
      <c r="Z175" s="140"/>
      <c r="AA175" s="74"/>
      <c r="AB175" s="76"/>
      <c r="AC175" s="139">
        <f t="shared" si="10"/>
        <v>0.36</v>
      </c>
      <c r="AD175" s="139">
        <v>0.36</v>
      </c>
      <c r="AE175" s="76"/>
      <c r="AF175" s="76"/>
      <c r="AG175" s="344"/>
      <c r="AH175" s="80">
        <v>0.153</v>
      </c>
      <c r="AI175" s="58"/>
      <c r="AJ175" s="62"/>
      <c r="AK175" s="62"/>
      <c r="AL175" s="502" t="s">
        <v>2259</v>
      </c>
      <c r="AM175" s="38"/>
      <c r="AN175" s="117"/>
      <c r="AO175" s="82"/>
      <c r="AP175" s="41"/>
      <c r="AQ175" s="255"/>
      <c r="AR175" s="24"/>
    </row>
    <row r="176" spans="1:44" s="311" customFormat="1" ht="90.75" customHeight="1" x14ac:dyDescent="0.2">
      <c r="A176" s="21" t="s">
        <v>2263</v>
      </c>
      <c r="B176" s="22" t="s">
        <v>2262</v>
      </c>
      <c r="C176" s="22"/>
      <c r="D176" s="56" t="s">
        <v>2261</v>
      </c>
      <c r="E176" s="132" t="s">
        <v>112</v>
      </c>
      <c r="F176" s="133" t="s">
        <v>115</v>
      </c>
      <c r="G176" s="134" t="s">
        <v>179</v>
      </c>
      <c r="H176" s="24"/>
      <c r="I176" s="255" t="s">
        <v>2266</v>
      </c>
      <c r="J176" s="255" t="s">
        <v>2267</v>
      </c>
      <c r="K176" s="267" t="s">
        <v>2264</v>
      </c>
      <c r="L176" s="22" t="s">
        <v>328</v>
      </c>
      <c r="M176" s="22" t="s">
        <v>2269</v>
      </c>
      <c r="N176" s="91" t="s">
        <v>2270</v>
      </c>
      <c r="O176" s="41">
        <v>43466</v>
      </c>
      <c r="P176" s="340">
        <v>12</v>
      </c>
      <c r="Q176" s="27">
        <v>43185</v>
      </c>
      <c r="R176" s="255" t="s">
        <v>290</v>
      </c>
      <c r="S176" s="501" t="s">
        <v>2265</v>
      </c>
      <c r="T176" s="223"/>
      <c r="U176" s="45"/>
      <c r="V176" s="91"/>
      <c r="W176" s="323"/>
      <c r="X176" s="139">
        <f t="shared" si="11"/>
        <v>5550.4756589999997</v>
      </c>
      <c r="Y176" s="255"/>
      <c r="Z176" s="140">
        <f>5550.475659-AC176</f>
        <v>5050.4756589999997</v>
      </c>
      <c r="AA176" s="74" t="s">
        <v>2271</v>
      </c>
      <c r="AB176" s="76"/>
      <c r="AC176" s="139">
        <f t="shared" si="10"/>
        <v>500</v>
      </c>
      <c r="AD176" s="139">
        <v>496.9</v>
      </c>
      <c r="AE176" s="76"/>
      <c r="AF176" s="76">
        <v>3.1</v>
      </c>
      <c r="AG176" s="344"/>
      <c r="AH176" s="80"/>
      <c r="AI176" s="58">
        <v>10.6</v>
      </c>
      <c r="AJ176" s="62"/>
      <c r="AK176" s="62" t="s">
        <v>2268</v>
      </c>
      <c r="AL176" s="310"/>
      <c r="AM176" s="38"/>
      <c r="AN176" s="117"/>
      <c r="AO176" s="82"/>
      <c r="AP176" s="41"/>
      <c r="AQ176" s="255"/>
      <c r="AR176" s="24"/>
    </row>
    <row r="177" spans="1:44" s="311" customFormat="1" ht="115.5" customHeight="1" x14ac:dyDescent="0.2">
      <c r="A177" s="21" t="s">
        <v>2273</v>
      </c>
      <c r="B177" s="22" t="s">
        <v>2274</v>
      </c>
      <c r="C177" s="22"/>
      <c r="D177" s="56" t="s">
        <v>2275</v>
      </c>
      <c r="E177" s="24" t="s">
        <v>106</v>
      </c>
      <c r="F177" s="26" t="s">
        <v>108</v>
      </c>
      <c r="G177" s="24" t="s">
        <v>55</v>
      </c>
      <c r="H177" s="24"/>
      <c r="I177" s="255" t="s">
        <v>2279</v>
      </c>
      <c r="J177" s="255" t="s">
        <v>2277</v>
      </c>
      <c r="K177" s="267" t="s">
        <v>2276</v>
      </c>
      <c r="L177" s="22" t="s">
        <v>749</v>
      </c>
      <c r="M177" s="22" t="s">
        <v>2203</v>
      </c>
      <c r="N177" s="91" t="s">
        <v>2280</v>
      </c>
      <c r="O177" s="41">
        <v>43466</v>
      </c>
      <c r="P177" s="340">
        <v>12</v>
      </c>
      <c r="Q177" s="27">
        <v>43361</v>
      </c>
      <c r="R177" s="255" t="s">
        <v>290</v>
      </c>
      <c r="S177" s="503"/>
      <c r="T177" s="223"/>
      <c r="U177" s="45"/>
      <c r="V177" s="91"/>
      <c r="W177" s="323"/>
      <c r="X177" s="139">
        <f t="shared" si="11"/>
        <v>2700</v>
      </c>
      <c r="Y177" s="255"/>
      <c r="Z177" s="140">
        <v>583.87</v>
      </c>
      <c r="AA177" s="74"/>
      <c r="AB177" s="76"/>
      <c r="AC177" s="139">
        <f t="shared" si="10"/>
        <v>2116.13</v>
      </c>
      <c r="AD177" s="139">
        <v>2108</v>
      </c>
      <c r="AE177" s="76">
        <v>5</v>
      </c>
      <c r="AF177" s="76">
        <v>3.13</v>
      </c>
      <c r="AG177" s="344"/>
      <c r="AH177" s="80"/>
      <c r="AI177" s="80">
        <v>25.15</v>
      </c>
      <c r="AJ177" s="62"/>
      <c r="AK177" s="62" t="s">
        <v>2278</v>
      </c>
      <c r="AL177" s="310"/>
      <c r="AM177" s="38"/>
      <c r="AN177" s="117"/>
      <c r="AO177" s="82"/>
      <c r="AP177" s="41"/>
      <c r="AQ177" s="255"/>
      <c r="AR177" s="24"/>
    </row>
    <row r="178" spans="1:44" s="311" customFormat="1" ht="90.75" customHeight="1" x14ac:dyDescent="0.2">
      <c r="A178" s="21" t="s">
        <v>2281</v>
      </c>
      <c r="B178" s="22" t="s">
        <v>2284</v>
      </c>
      <c r="C178" s="22"/>
      <c r="D178" s="56" t="s">
        <v>2285</v>
      </c>
      <c r="E178" s="505" t="s">
        <v>102</v>
      </c>
      <c r="F178" s="506" t="s">
        <v>104</v>
      </c>
      <c r="G178" s="507" t="s">
        <v>2283</v>
      </c>
      <c r="H178" s="24"/>
      <c r="I178" s="255" t="s">
        <v>2290</v>
      </c>
      <c r="J178" s="255" t="s">
        <v>2291</v>
      </c>
      <c r="K178" s="267" t="s">
        <v>2287</v>
      </c>
      <c r="L178" s="22" t="s">
        <v>436</v>
      </c>
      <c r="M178" s="22" t="s">
        <v>1693</v>
      </c>
      <c r="N178" s="91" t="s">
        <v>2286</v>
      </c>
      <c r="O178" s="41">
        <v>43466</v>
      </c>
      <c r="P178" s="340">
        <v>13</v>
      </c>
      <c r="Q178" s="27">
        <v>43404</v>
      </c>
      <c r="R178" s="255" t="s">
        <v>290</v>
      </c>
      <c r="S178" s="504"/>
      <c r="T178" s="223"/>
      <c r="U178" s="45"/>
      <c r="V178" s="91"/>
      <c r="W178" s="323"/>
      <c r="X178" s="139">
        <f t="shared" si="11"/>
        <v>116.4</v>
      </c>
      <c r="Y178" s="255"/>
      <c r="Z178" s="140">
        <f>116.4-90.2</f>
        <v>26.200000000000003</v>
      </c>
      <c r="AA178" s="74"/>
      <c r="AB178" s="76"/>
      <c r="AC178" s="139">
        <f t="shared" si="10"/>
        <v>90.2</v>
      </c>
      <c r="AD178" s="139">
        <v>80</v>
      </c>
      <c r="AE178" s="76">
        <v>10</v>
      </c>
      <c r="AF178" s="76">
        <v>0.2</v>
      </c>
      <c r="AG178" s="344"/>
      <c r="AH178" s="80">
        <v>53.8</v>
      </c>
      <c r="AI178" s="80"/>
      <c r="AJ178" s="62"/>
      <c r="AK178" s="62" t="s">
        <v>2289</v>
      </c>
      <c r="AL178" s="310"/>
      <c r="AM178" s="38"/>
      <c r="AN178" s="117"/>
      <c r="AO178" s="82"/>
      <c r="AP178" s="41"/>
      <c r="AQ178" s="255"/>
      <c r="AR178" s="24" t="s">
        <v>2288</v>
      </c>
    </row>
    <row r="179" spans="1:44" s="311" customFormat="1" ht="137.25" customHeight="1" x14ac:dyDescent="0.2">
      <c r="A179" s="21" t="s">
        <v>2282</v>
      </c>
      <c r="B179" s="22" t="s">
        <v>2293</v>
      </c>
      <c r="C179" s="22"/>
      <c r="D179" s="56" t="s">
        <v>2292</v>
      </c>
      <c r="E179" s="505" t="s">
        <v>102</v>
      </c>
      <c r="F179" s="506" t="s">
        <v>104</v>
      </c>
      <c r="G179" s="507" t="s">
        <v>2283</v>
      </c>
      <c r="H179" s="24"/>
      <c r="I179" s="255" t="s">
        <v>2295</v>
      </c>
      <c r="J179" s="255" t="s">
        <v>2296</v>
      </c>
      <c r="K179" s="267" t="s">
        <v>2294</v>
      </c>
      <c r="L179" s="22" t="s">
        <v>555</v>
      </c>
      <c r="M179" s="22" t="s">
        <v>1438</v>
      </c>
      <c r="N179" s="91" t="s">
        <v>2298</v>
      </c>
      <c r="O179" s="41">
        <v>43466</v>
      </c>
      <c r="P179" s="340">
        <v>3</v>
      </c>
      <c r="Q179" s="27">
        <v>43404</v>
      </c>
      <c r="R179" s="255" t="s">
        <v>288</v>
      </c>
      <c r="S179" s="504"/>
      <c r="T179" s="223"/>
      <c r="U179" s="45"/>
      <c r="V179" s="91"/>
      <c r="W179" s="323"/>
      <c r="X179" s="139">
        <f t="shared" si="11"/>
        <v>5</v>
      </c>
      <c r="Y179" s="255"/>
      <c r="Z179" s="140">
        <v>0</v>
      </c>
      <c r="AA179" s="74"/>
      <c r="AB179" s="76"/>
      <c r="AC179" s="139">
        <f t="shared" si="10"/>
        <v>5</v>
      </c>
      <c r="AD179" s="139">
        <v>5</v>
      </c>
      <c r="AE179" s="76"/>
      <c r="AF179" s="76"/>
      <c r="AG179" s="344"/>
      <c r="AH179" s="80">
        <v>3.5</v>
      </c>
      <c r="AI179" s="80"/>
      <c r="AJ179" s="62"/>
      <c r="AK179" s="62"/>
      <c r="AL179" s="310"/>
      <c r="AM179" s="38"/>
      <c r="AN179" s="117"/>
      <c r="AO179" s="82"/>
      <c r="AP179" s="41"/>
      <c r="AQ179" s="255"/>
      <c r="AR179" s="24" t="s">
        <v>2297</v>
      </c>
    </row>
    <row r="180" spans="1:44" s="311" customFormat="1" ht="102" customHeight="1" x14ac:dyDescent="0.2">
      <c r="A180" s="21" t="s">
        <v>2300</v>
      </c>
      <c r="B180" s="22" t="s">
        <v>2302</v>
      </c>
      <c r="C180" s="22"/>
      <c r="D180" s="56" t="s">
        <v>2303</v>
      </c>
      <c r="E180" s="234" t="s">
        <v>105</v>
      </c>
      <c r="F180" s="322" t="s">
        <v>114</v>
      </c>
      <c r="G180" s="507" t="s">
        <v>83</v>
      </c>
      <c r="H180" s="24"/>
      <c r="I180" s="255" t="s">
        <v>2305</v>
      </c>
      <c r="J180" s="255" t="s">
        <v>2306</v>
      </c>
      <c r="K180" s="267" t="s">
        <v>2304</v>
      </c>
      <c r="L180" s="22" t="s">
        <v>2314</v>
      </c>
      <c r="M180" s="22" t="s">
        <v>1693</v>
      </c>
      <c r="N180" s="22" t="s">
        <v>1693</v>
      </c>
      <c r="O180" s="41">
        <v>40179</v>
      </c>
      <c r="P180" s="340">
        <v>10</v>
      </c>
      <c r="Q180" s="27">
        <v>43475</v>
      </c>
      <c r="R180" s="255" t="s">
        <v>312</v>
      </c>
      <c r="S180" s="508" t="s">
        <v>2307</v>
      </c>
      <c r="T180" s="223" t="s">
        <v>2308</v>
      </c>
      <c r="U180" s="45"/>
      <c r="V180" s="91"/>
      <c r="W180" s="323"/>
      <c r="X180" s="139">
        <f t="shared" si="11"/>
        <v>97</v>
      </c>
      <c r="Y180" s="255"/>
      <c r="Z180" s="140">
        <v>97</v>
      </c>
      <c r="AA180" s="74"/>
      <c r="AB180" s="76"/>
      <c r="AC180" s="139">
        <f t="shared" si="10"/>
        <v>0</v>
      </c>
      <c r="AD180" s="139"/>
      <c r="AE180" s="76"/>
      <c r="AF180" s="76"/>
      <c r="AG180" s="58">
        <v>47</v>
      </c>
      <c r="AH180" s="80"/>
      <c r="AI180" s="80"/>
      <c r="AJ180" s="62"/>
      <c r="AK180" s="62"/>
      <c r="AL180" s="310"/>
      <c r="AM180" s="38"/>
      <c r="AN180" s="117"/>
      <c r="AO180" s="82"/>
      <c r="AP180" s="41"/>
      <c r="AQ180" s="255"/>
      <c r="AR180" s="24"/>
    </row>
    <row r="181" spans="1:44" s="311" customFormat="1" ht="126.75" customHeight="1" x14ac:dyDescent="0.2">
      <c r="A181" s="21" t="s">
        <v>2301</v>
      </c>
      <c r="B181" s="22" t="s">
        <v>2310</v>
      </c>
      <c r="C181" s="22"/>
      <c r="D181" s="56" t="s">
        <v>2309</v>
      </c>
      <c r="E181" s="234" t="s">
        <v>105</v>
      </c>
      <c r="F181" s="322" t="s">
        <v>114</v>
      </c>
      <c r="G181" s="507" t="s">
        <v>83</v>
      </c>
      <c r="H181" s="24"/>
      <c r="I181" s="255" t="s">
        <v>2312</v>
      </c>
      <c r="J181" s="255" t="s">
        <v>2313</v>
      </c>
      <c r="K181" s="267" t="s">
        <v>2311</v>
      </c>
      <c r="L181" s="22" t="s">
        <v>629</v>
      </c>
      <c r="M181" s="22" t="s">
        <v>1693</v>
      </c>
      <c r="N181" s="22" t="s">
        <v>1693</v>
      </c>
      <c r="O181" s="41">
        <v>40179</v>
      </c>
      <c r="P181" s="340">
        <v>4</v>
      </c>
      <c r="Q181" s="27">
        <v>43475</v>
      </c>
      <c r="R181" s="255" t="s">
        <v>312</v>
      </c>
      <c r="S181" s="508"/>
      <c r="T181" s="223" t="s">
        <v>2308</v>
      </c>
      <c r="U181" s="45"/>
      <c r="V181" s="91"/>
      <c r="W181" s="323"/>
      <c r="X181" s="139">
        <f t="shared" si="11"/>
        <v>5.2850000000000001</v>
      </c>
      <c r="Y181" s="255"/>
      <c r="Z181" s="140">
        <v>3.3570000000000002</v>
      </c>
      <c r="AA181" s="74" t="s">
        <v>2315</v>
      </c>
      <c r="AB181" s="76">
        <v>1.9279999999999999</v>
      </c>
      <c r="AC181" s="139">
        <f t="shared" si="10"/>
        <v>0</v>
      </c>
      <c r="AD181" s="139"/>
      <c r="AE181" s="76"/>
      <c r="AF181" s="76"/>
      <c r="AG181" s="58">
        <v>1.9</v>
      </c>
      <c r="AH181" s="80"/>
      <c r="AI181" s="80"/>
      <c r="AJ181" s="62" t="s">
        <v>2316</v>
      </c>
      <c r="AK181" s="62"/>
      <c r="AL181" s="310"/>
      <c r="AM181" s="38"/>
      <c r="AN181" s="117"/>
      <c r="AO181" s="82">
        <v>2119</v>
      </c>
      <c r="AP181" s="41"/>
      <c r="AQ181" s="255"/>
      <c r="AR181" s="24"/>
    </row>
    <row r="182" spans="1:44" s="311" customFormat="1" ht="114" customHeight="1" x14ac:dyDescent="0.2">
      <c r="A182" s="21" t="s">
        <v>2317</v>
      </c>
      <c r="B182" s="22" t="s">
        <v>2318</v>
      </c>
      <c r="C182" s="22"/>
      <c r="D182" s="56" t="s">
        <v>2319</v>
      </c>
      <c r="E182" s="234" t="s">
        <v>105</v>
      </c>
      <c r="F182" s="322" t="s">
        <v>114</v>
      </c>
      <c r="G182" s="507" t="s">
        <v>83</v>
      </c>
      <c r="H182" s="24"/>
      <c r="I182" s="255" t="s">
        <v>2321</v>
      </c>
      <c r="J182" s="255" t="s">
        <v>2323</v>
      </c>
      <c r="K182" s="267" t="s">
        <v>2320</v>
      </c>
      <c r="L182" s="28" t="s">
        <v>328</v>
      </c>
      <c r="M182" s="91" t="s">
        <v>1841</v>
      </c>
      <c r="N182" s="91" t="s">
        <v>2324</v>
      </c>
      <c r="O182" s="41">
        <v>40179</v>
      </c>
      <c r="P182" s="340">
        <v>27</v>
      </c>
      <c r="Q182" s="27">
        <v>43518</v>
      </c>
      <c r="R182" s="255" t="s">
        <v>312</v>
      </c>
      <c r="S182" s="509" t="s">
        <v>2322</v>
      </c>
      <c r="T182" s="223" t="s">
        <v>2308</v>
      </c>
      <c r="U182" s="45"/>
      <c r="V182" s="91"/>
      <c r="W182" s="323"/>
      <c r="X182" s="139">
        <f t="shared" si="11"/>
        <v>10356.911117</v>
      </c>
      <c r="Y182" s="255"/>
      <c r="Z182" s="140">
        <v>10356.911117</v>
      </c>
      <c r="AA182" s="74"/>
      <c r="AB182" s="76"/>
      <c r="AC182" s="139">
        <f t="shared" si="10"/>
        <v>0</v>
      </c>
      <c r="AD182" s="139"/>
      <c r="AE182" s="76"/>
      <c r="AF182" s="76"/>
      <c r="AG182" s="58"/>
      <c r="AH182" s="80"/>
      <c r="AI182" s="80">
        <v>4.4000000000000004</v>
      </c>
      <c r="AJ182" s="62"/>
      <c r="AK182" s="62"/>
      <c r="AL182" s="310"/>
      <c r="AM182" s="38"/>
      <c r="AN182" s="117"/>
      <c r="AO182" s="82"/>
      <c r="AP182" s="41"/>
      <c r="AQ182" s="255"/>
      <c r="AR182" s="24"/>
    </row>
    <row r="183" spans="1:44" s="311" customFormat="1" ht="78.75" customHeight="1" x14ac:dyDescent="0.2">
      <c r="A183" s="21" t="s">
        <v>2325</v>
      </c>
      <c r="B183" s="22" t="s">
        <v>2326</v>
      </c>
      <c r="C183" s="22"/>
      <c r="D183" s="56" t="s">
        <v>2327</v>
      </c>
      <c r="E183" s="88" t="s">
        <v>106</v>
      </c>
      <c r="F183" s="133" t="s">
        <v>121</v>
      </c>
      <c r="G183" s="397" t="s">
        <v>1809</v>
      </c>
      <c r="H183" s="24"/>
      <c r="I183" s="255" t="s">
        <v>2330</v>
      </c>
      <c r="J183" s="255" t="s">
        <v>2329</v>
      </c>
      <c r="K183" s="267" t="s">
        <v>2328</v>
      </c>
      <c r="L183" s="22" t="s">
        <v>749</v>
      </c>
      <c r="M183" s="22" t="s">
        <v>2203</v>
      </c>
      <c r="N183" s="91" t="s">
        <v>2280</v>
      </c>
      <c r="O183" s="41">
        <v>43466</v>
      </c>
      <c r="P183" s="340">
        <v>1.25</v>
      </c>
      <c r="Q183" s="27">
        <v>43543</v>
      </c>
      <c r="R183" s="255" t="s">
        <v>288</v>
      </c>
      <c r="S183" s="510"/>
      <c r="T183" s="223"/>
      <c r="U183" s="45"/>
      <c r="V183" s="91"/>
      <c r="W183" s="323"/>
      <c r="X183" s="139">
        <f t="shared" si="11"/>
        <v>327.45699999999999</v>
      </c>
      <c r="Y183" s="255"/>
      <c r="Z183" s="140">
        <v>327.45699999999999</v>
      </c>
      <c r="AA183" s="74"/>
      <c r="AB183" s="76"/>
      <c r="AC183" s="139">
        <f t="shared" si="10"/>
        <v>0</v>
      </c>
      <c r="AD183" s="139"/>
      <c r="AE183" s="76"/>
      <c r="AF183" s="76"/>
      <c r="AG183" s="58"/>
      <c r="AH183" s="80"/>
      <c r="AI183" s="80">
        <v>1.0820000000000001</v>
      </c>
      <c r="AJ183" s="62"/>
      <c r="AK183" s="62"/>
      <c r="AL183" s="310"/>
      <c r="AM183" s="38"/>
      <c r="AN183" s="117"/>
      <c r="AO183" s="82"/>
      <c r="AP183" s="41"/>
      <c r="AQ183" s="255"/>
      <c r="AR183" s="24"/>
    </row>
    <row r="184" spans="1:44" s="311" customFormat="1" ht="78.75" customHeight="1" x14ac:dyDescent="0.2">
      <c r="A184" s="21" t="s">
        <v>2331</v>
      </c>
      <c r="B184" s="22" t="s">
        <v>2332</v>
      </c>
      <c r="C184" s="22"/>
      <c r="D184" s="56" t="s">
        <v>2333</v>
      </c>
      <c r="E184" s="88" t="s">
        <v>106</v>
      </c>
      <c r="F184" s="89" t="s">
        <v>107</v>
      </c>
      <c r="G184" s="397" t="s">
        <v>346</v>
      </c>
      <c r="H184" s="24"/>
      <c r="I184" s="255" t="s">
        <v>2335</v>
      </c>
      <c r="J184" s="255" t="s">
        <v>2336</v>
      </c>
      <c r="K184" s="267" t="s">
        <v>2334</v>
      </c>
      <c r="L184" s="22" t="s">
        <v>2338</v>
      </c>
      <c r="M184" s="22" t="s">
        <v>94</v>
      </c>
      <c r="N184" s="91" t="s">
        <v>93</v>
      </c>
      <c r="O184" s="41">
        <v>40544</v>
      </c>
      <c r="P184" s="340">
        <v>8</v>
      </c>
      <c r="Q184" s="27">
        <v>43608</v>
      </c>
      <c r="R184" s="255" t="s">
        <v>312</v>
      </c>
      <c r="S184" s="512" t="s">
        <v>2337</v>
      </c>
      <c r="T184" s="223" t="s">
        <v>2308</v>
      </c>
      <c r="U184" s="45"/>
      <c r="V184" s="91"/>
      <c r="W184" s="323"/>
      <c r="X184" s="139">
        <f t="shared" si="11"/>
        <v>6.5069840000000001</v>
      </c>
      <c r="Y184" s="255"/>
      <c r="Z184" s="140">
        <v>6.5069840000000001</v>
      </c>
      <c r="AA184" s="74"/>
      <c r="AB184" s="76"/>
      <c r="AC184" s="139">
        <f t="shared" si="10"/>
        <v>0</v>
      </c>
      <c r="AD184" s="139"/>
      <c r="AE184" s="76"/>
      <c r="AF184" s="76"/>
      <c r="AG184" s="58">
        <v>0.24299999999999999</v>
      </c>
      <c r="AH184" s="80"/>
      <c r="AI184" s="80"/>
      <c r="AJ184" s="62"/>
      <c r="AK184" s="62"/>
      <c r="AL184" s="310"/>
      <c r="AM184" s="38"/>
      <c r="AN184" s="117"/>
      <c r="AO184" s="82"/>
      <c r="AP184" s="41"/>
      <c r="AQ184" s="255"/>
      <c r="AR184" s="24"/>
    </row>
    <row r="185" spans="1:44" s="311" customFormat="1" ht="75.75" customHeight="1" x14ac:dyDescent="0.2">
      <c r="A185" s="21" t="s">
        <v>2339</v>
      </c>
      <c r="B185" s="22" t="s">
        <v>2340</v>
      </c>
      <c r="C185" s="22"/>
      <c r="D185" s="56" t="s">
        <v>2341</v>
      </c>
      <c r="E185" s="134" t="s">
        <v>112</v>
      </c>
      <c r="F185" s="150" t="s">
        <v>113</v>
      </c>
      <c r="G185" s="397" t="s">
        <v>137</v>
      </c>
      <c r="H185" s="24"/>
      <c r="I185" s="255" t="s">
        <v>2343</v>
      </c>
      <c r="J185" s="255" t="s">
        <v>2345</v>
      </c>
      <c r="K185" s="267" t="s">
        <v>2342</v>
      </c>
      <c r="L185" s="22" t="s">
        <v>328</v>
      </c>
      <c r="M185" s="22" t="s">
        <v>1841</v>
      </c>
      <c r="N185" s="91" t="s">
        <v>2346</v>
      </c>
      <c r="O185" s="41">
        <v>42736</v>
      </c>
      <c r="P185" s="340">
        <v>13</v>
      </c>
      <c r="Q185" s="27">
        <v>43674</v>
      </c>
      <c r="R185" s="255" t="s">
        <v>290</v>
      </c>
      <c r="S185" s="513"/>
      <c r="T185" s="223"/>
      <c r="U185" s="45"/>
      <c r="V185" s="91"/>
      <c r="W185" s="323"/>
      <c r="X185" s="139">
        <f t="shared" si="11"/>
        <v>14</v>
      </c>
      <c r="Y185" s="255"/>
      <c r="Z185" s="140">
        <v>0</v>
      </c>
      <c r="AA185" s="74"/>
      <c r="AB185" s="76"/>
      <c r="AC185" s="139">
        <f t="shared" si="10"/>
        <v>14</v>
      </c>
      <c r="AD185" s="139">
        <v>14</v>
      </c>
      <c r="AE185" s="76"/>
      <c r="AF185" s="76"/>
      <c r="AG185" s="80">
        <v>0.45</v>
      </c>
      <c r="AH185" s="80">
        <v>0.45</v>
      </c>
      <c r="AI185" s="80">
        <v>3</v>
      </c>
      <c r="AJ185" s="62"/>
      <c r="AK185" s="62" t="s">
        <v>2344</v>
      </c>
      <c r="AL185" s="310"/>
      <c r="AM185" s="38"/>
      <c r="AN185" s="117"/>
      <c r="AO185" s="82"/>
      <c r="AP185" s="41"/>
      <c r="AQ185" s="255"/>
      <c r="AR185" s="24"/>
    </row>
    <row r="186" spans="1:44" s="311" customFormat="1" ht="92.25" customHeight="1" x14ac:dyDescent="0.2">
      <c r="A186" s="21" t="s">
        <v>2348</v>
      </c>
      <c r="B186" s="22" t="s">
        <v>2354</v>
      </c>
      <c r="C186" s="22"/>
      <c r="D186" s="56" t="s">
        <v>2390</v>
      </c>
      <c r="E186" s="24" t="s">
        <v>106</v>
      </c>
      <c r="F186" s="26" t="s">
        <v>108</v>
      </c>
      <c r="G186" s="397" t="s">
        <v>2347</v>
      </c>
      <c r="H186" s="24"/>
      <c r="I186" s="255" t="s">
        <v>2357</v>
      </c>
      <c r="J186" s="255" t="s">
        <v>2356</v>
      </c>
      <c r="K186" s="267" t="s">
        <v>2355</v>
      </c>
      <c r="L186" s="22" t="s">
        <v>415</v>
      </c>
      <c r="M186" s="22" t="s">
        <v>2358</v>
      </c>
      <c r="N186" s="91" t="s">
        <v>2359</v>
      </c>
      <c r="O186" s="41">
        <v>43101</v>
      </c>
      <c r="P186" s="340">
        <v>14</v>
      </c>
      <c r="Q186" s="27">
        <v>43709</v>
      </c>
      <c r="R186" s="255" t="s">
        <v>290</v>
      </c>
      <c r="S186" s="516"/>
      <c r="T186" s="223"/>
      <c r="U186" s="45"/>
      <c r="V186" s="91"/>
      <c r="W186" s="323"/>
      <c r="X186" s="139">
        <f t="shared" si="11"/>
        <v>1168.0538590000001</v>
      </c>
      <c r="Y186" s="255"/>
      <c r="Z186" s="140">
        <v>654.22655799999995</v>
      </c>
      <c r="AA186" s="74"/>
      <c r="AB186" s="76"/>
      <c r="AC186" s="139">
        <f t="shared" si="10"/>
        <v>513.82730100000003</v>
      </c>
      <c r="AD186" s="139">
        <v>506.22730100000001</v>
      </c>
      <c r="AE186" s="76">
        <v>3.6</v>
      </c>
      <c r="AF186" s="76">
        <v>4</v>
      </c>
      <c r="AG186" s="80">
        <v>1.86</v>
      </c>
      <c r="AH186" s="80"/>
      <c r="AI186" s="80"/>
      <c r="AJ186" s="62"/>
      <c r="AK186" s="62" t="s">
        <v>2360</v>
      </c>
      <c r="AL186" s="310"/>
      <c r="AM186" s="38"/>
      <c r="AN186" s="117"/>
      <c r="AO186" s="82"/>
      <c r="AP186" s="41"/>
      <c r="AQ186" s="255"/>
      <c r="AR186" s="24"/>
    </row>
    <row r="187" spans="1:44" s="311" customFormat="1" ht="75.75" customHeight="1" x14ac:dyDescent="0.2">
      <c r="A187" s="21" t="s">
        <v>2349</v>
      </c>
      <c r="B187" s="22" t="s">
        <v>2361</v>
      </c>
      <c r="C187" s="22"/>
      <c r="D187" s="56" t="s">
        <v>2362</v>
      </c>
      <c r="E187" s="24" t="s">
        <v>106</v>
      </c>
      <c r="F187" s="26" t="s">
        <v>108</v>
      </c>
      <c r="G187" s="397" t="s">
        <v>2347</v>
      </c>
      <c r="H187" s="24"/>
      <c r="I187" s="255" t="s">
        <v>2366</v>
      </c>
      <c r="J187" s="255" t="s">
        <v>2364</v>
      </c>
      <c r="K187" s="267" t="s">
        <v>2363</v>
      </c>
      <c r="L187" s="22" t="s">
        <v>434</v>
      </c>
      <c r="M187" s="22" t="s">
        <v>2365</v>
      </c>
      <c r="N187" s="91" t="s">
        <v>1693</v>
      </c>
      <c r="O187" s="41">
        <v>43101</v>
      </c>
      <c r="P187" s="340">
        <v>5</v>
      </c>
      <c r="Q187" s="27">
        <v>43709</v>
      </c>
      <c r="R187" s="255" t="s">
        <v>290</v>
      </c>
      <c r="S187" s="516"/>
      <c r="T187" s="223"/>
      <c r="U187" s="45"/>
      <c r="V187" s="91"/>
      <c r="W187" s="323"/>
      <c r="X187" s="139">
        <f t="shared" si="11"/>
        <v>10.5</v>
      </c>
      <c r="Y187" s="255"/>
      <c r="Z187" s="140">
        <v>2.5</v>
      </c>
      <c r="AA187" s="74"/>
      <c r="AB187" s="76"/>
      <c r="AC187" s="139">
        <f t="shared" si="10"/>
        <v>8</v>
      </c>
      <c r="AD187" s="139">
        <v>1</v>
      </c>
      <c r="AE187" s="76">
        <v>4.5</v>
      </c>
      <c r="AF187" s="76">
        <v>2.5</v>
      </c>
      <c r="AG187" s="80">
        <v>1.36277716</v>
      </c>
      <c r="AH187" s="80"/>
      <c r="AI187" s="80"/>
      <c r="AJ187" s="62"/>
      <c r="AK187" s="62" t="s">
        <v>2367</v>
      </c>
      <c r="AL187" s="310"/>
      <c r="AM187" s="38"/>
      <c r="AN187" s="117"/>
      <c r="AO187" s="82"/>
      <c r="AP187" s="41"/>
      <c r="AQ187" s="255"/>
      <c r="AR187" s="24"/>
    </row>
    <row r="188" spans="1:44" s="311" customFormat="1" ht="75.75" customHeight="1" x14ac:dyDescent="0.2">
      <c r="A188" s="21" t="s">
        <v>2350</v>
      </c>
      <c r="B188" s="22" t="s">
        <v>2369</v>
      </c>
      <c r="C188" s="22"/>
      <c r="D188" s="56" t="s">
        <v>2368</v>
      </c>
      <c r="E188" s="24" t="s">
        <v>106</v>
      </c>
      <c r="F188" s="26" t="s">
        <v>108</v>
      </c>
      <c r="G188" s="397" t="s">
        <v>2347</v>
      </c>
      <c r="H188" s="24"/>
      <c r="I188" s="255" t="s">
        <v>2371</v>
      </c>
      <c r="J188" s="255" t="s">
        <v>2370</v>
      </c>
      <c r="K188" s="267" t="s">
        <v>2363</v>
      </c>
      <c r="L188" s="22" t="s">
        <v>1435</v>
      </c>
      <c r="M188" s="22" t="s">
        <v>415</v>
      </c>
      <c r="N188" s="91" t="s">
        <v>574</v>
      </c>
      <c r="O188" s="41">
        <v>42370</v>
      </c>
      <c r="P188" s="340">
        <v>10</v>
      </c>
      <c r="Q188" s="27">
        <v>43709</v>
      </c>
      <c r="R188" s="255" t="s">
        <v>290</v>
      </c>
      <c r="S188" s="516"/>
      <c r="T188" s="223"/>
      <c r="U188" s="45"/>
      <c r="V188" s="91"/>
      <c r="W188" s="323"/>
      <c r="X188" s="139">
        <f t="shared" si="11"/>
        <v>10.73057</v>
      </c>
      <c r="Y188" s="255"/>
      <c r="Z188" s="140">
        <v>6.0435699999999999</v>
      </c>
      <c r="AA188" s="74"/>
      <c r="AB188" s="76"/>
      <c r="AC188" s="139">
        <v>4.6870000000000003</v>
      </c>
      <c r="AD188" s="139"/>
      <c r="AE188" s="76"/>
      <c r="AF188" s="76"/>
      <c r="AG188" s="80"/>
      <c r="AH188" s="80"/>
      <c r="AI188" s="80"/>
      <c r="AJ188" s="62"/>
      <c r="AK188" s="62"/>
      <c r="AL188" s="310"/>
      <c r="AM188" s="38"/>
      <c r="AN188" s="117"/>
      <c r="AO188" s="82"/>
      <c r="AP188" s="41"/>
      <c r="AQ188" s="255"/>
      <c r="AR188" s="24"/>
    </row>
    <row r="189" spans="1:44" s="311" customFormat="1" ht="75.75" customHeight="1" x14ac:dyDescent="0.2">
      <c r="A189" s="21" t="s">
        <v>2351</v>
      </c>
      <c r="B189" s="22" t="s">
        <v>2373</v>
      </c>
      <c r="C189" s="22"/>
      <c r="D189" s="56" t="s">
        <v>2372</v>
      </c>
      <c r="E189" s="24" t="s">
        <v>106</v>
      </c>
      <c r="F189" s="26" t="s">
        <v>108</v>
      </c>
      <c r="G189" s="397" t="s">
        <v>2347</v>
      </c>
      <c r="H189" s="24"/>
      <c r="I189" s="255" t="s">
        <v>2376</v>
      </c>
      <c r="J189" s="255" t="s">
        <v>2377</v>
      </c>
      <c r="K189" s="267" t="s">
        <v>2363</v>
      </c>
      <c r="L189" s="22" t="s">
        <v>1442</v>
      </c>
      <c r="M189" s="22" t="s">
        <v>1121</v>
      </c>
      <c r="N189" s="91" t="s">
        <v>2378</v>
      </c>
      <c r="O189" s="41">
        <v>41640</v>
      </c>
      <c r="P189" s="340">
        <v>10</v>
      </c>
      <c r="Q189" s="27">
        <v>43709</v>
      </c>
      <c r="R189" s="255" t="s">
        <v>290</v>
      </c>
      <c r="S189" s="516" t="s">
        <v>2374</v>
      </c>
      <c r="T189" s="223"/>
      <c r="U189" s="45"/>
      <c r="V189" s="91"/>
      <c r="W189" s="323"/>
      <c r="X189" s="139">
        <f t="shared" si="11"/>
        <v>1091.0002549999999</v>
      </c>
      <c r="Y189" s="255"/>
      <c r="Z189" s="140">
        <f>1091.000255-AC189</f>
        <v>1048.6007069999998</v>
      </c>
      <c r="AA189" s="74"/>
      <c r="AB189" s="76"/>
      <c r="AC189" s="139">
        <f t="shared" si="10"/>
        <v>42.399548000000003</v>
      </c>
      <c r="AD189" s="139">
        <f>42.399548-AF189</f>
        <v>38.753548000000002</v>
      </c>
      <c r="AE189" s="76"/>
      <c r="AF189" s="76">
        <v>3.6459999999999999</v>
      </c>
      <c r="AG189" s="80"/>
      <c r="AH189" s="80"/>
      <c r="AI189" s="80">
        <v>9.9700000000000006</v>
      </c>
      <c r="AJ189" s="62"/>
      <c r="AK189" s="62" t="s">
        <v>2375</v>
      </c>
      <c r="AL189" s="310"/>
      <c r="AM189" s="38"/>
      <c r="AN189" s="117"/>
      <c r="AO189" s="82"/>
      <c r="AP189" s="41"/>
      <c r="AQ189" s="255"/>
      <c r="AR189" s="24"/>
    </row>
    <row r="190" spans="1:44" s="311" customFormat="1" ht="75.75" customHeight="1" x14ac:dyDescent="0.2">
      <c r="A190" s="21" t="s">
        <v>2352</v>
      </c>
      <c r="B190" s="22" t="s">
        <v>2379</v>
      </c>
      <c r="C190" s="22"/>
      <c r="D190" s="56" t="s">
        <v>2380</v>
      </c>
      <c r="E190" s="24" t="s">
        <v>106</v>
      </c>
      <c r="F190" s="26" t="s">
        <v>108</v>
      </c>
      <c r="G190" s="397" t="s">
        <v>2347</v>
      </c>
      <c r="H190" s="24"/>
      <c r="I190" s="255" t="s">
        <v>2382</v>
      </c>
      <c r="J190" s="255" t="s">
        <v>2383</v>
      </c>
      <c r="K190" s="267" t="s">
        <v>2381</v>
      </c>
      <c r="L190" s="22" t="s">
        <v>328</v>
      </c>
      <c r="M190" s="22" t="s">
        <v>984</v>
      </c>
      <c r="N190" s="22" t="s">
        <v>984</v>
      </c>
      <c r="O190" s="41">
        <v>43101</v>
      </c>
      <c r="P190" s="340">
        <v>7</v>
      </c>
      <c r="Q190" s="27">
        <v>43709</v>
      </c>
      <c r="R190" s="255" t="s">
        <v>290</v>
      </c>
      <c r="S190" s="516"/>
      <c r="T190" s="223"/>
      <c r="U190" s="45"/>
      <c r="V190" s="91"/>
      <c r="W190" s="323"/>
      <c r="X190" s="139">
        <v>1348.6880020000001</v>
      </c>
      <c r="Y190" s="255"/>
      <c r="Z190" s="140">
        <f>1348.688002-AC190</f>
        <v>1243.7091750000002</v>
      </c>
      <c r="AA190" s="74"/>
      <c r="AB190" s="76"/>
      <c r="AC190" s="139">
        <f t="shared" si="10"/>
        <v>104.978827</v>
      </c>
      <c r="AD190" s="139">
        <f>104.978827-AF190</f>
        <v>100.353827</v>
      </c>
      <c r="AE190" s="76"/>
      <c r="AF190" s="76">
        <v>4.625</v>
      </c>
      <c r="AG190" s="80"/>
      <c r="AH190" s="80"/>
      <c r="AI190" s="80">
        <v>9.31</v>
      </c>
      <c r="AJ190" s="62"/>
      <c r="AK190" s="62"/>
      <c r="AL190" s="310"/>
      <c r="AM190" s="38"/>
      <c r="AN190" s="117"/>
      <c r="AO190" s="82"/>
      <c r="AP190" s="41"/>
      <c r="AQ190" s="255"/>
      <c r="AR190" s="24"/>
    </row>
    <row r="191" spans="1:44" s="311" customFormat="1" ht="75.75" customHeight="1" x14ac:dyDescent="0.2">
      <c r="A191" s="21" t="s">
        <v>2353</v>
      </c>
      <c r="B191" s="22" t="s">
        <v>2384</v>
      </c>
      <c r="C191" s="22"/>
      <c r="D191" s="56" t="s">
        <v>2385</v>
      </c>
      <c r="E191" s="24" t="s">
        <v>106</v>
      </c>
      <c r="F191" s="26" t="s">
        <v>108</v>
      </c>
      <c r="G191" s="397" t="s">
        <v>2347</v>
      </c>
      <c r="H191" s="24"/>
      <c r="I191" s="255" t="s">
        <v>2387</v>
      </c>
      <c r="J191" s="255" t="s">
        <v>2388</v>
      </c>
      <c r="K191" s="267" t="s">
        <v>2381</v>
      </c>
      <c r="L191" s="22" t="s">
        <v>328</v>
      </c>
      <c r="M191" s="22" t="s">
        <v>2386</v>
      </c>
      <c r="N191" s="22" t="s">
        <v>2386</v>
      </c>
      <c r="O191" s="41">
        <v>43101</v>
      </c>
      <c r="P191" s="340">
        <v>5</v>
      </c>
      <c r="Q191" s="27">
        <v>43709</v>
      </c>
      <c r="R191" s="255" t="s">
        <v>290</v>
      </c>
      <c r="S191" s="516"/>
      <c r="T191" s="223"/>
      <c r="U191" s="45"/>
      <c r="V191" s="91"/>
      <c r="W191" s="323"/>
      <c r="X191" s="139">
        <f t="shared" si="11"/>
        <v>214.59436600000001</v>
      </c>
      <c r="Y191" s="255"/>
      <c r="Z191" s="140">
        <f>214.594366-AC191</f>
        <v>172.05935300000002</v>
      </c>
      <c r="AA191" s="74"/>
      <c r="AB191" s="76"/>
      <c r="AC191" s="139">
        <f t="shared" si="10"/>
        <v>42.535012999999999</v>
      </c>
      <c r="AD191" s="139">
        <f>42.535013-AF191</f>
        <v>40.750013000000003</v>
      </c>
      <c r="AE191" s="76"/>
      <c r="AF191" s="76">
        <v>1.7849999999999999</v>
      </c>
      <c r="AG191" s="80"/>
      <c r="AH191" s="80"/>
      <c r="AI191" s="80">
        <v>8.7119999999999997</v>
      </c>
      <c r="AJ191" s="62"/>
      <c r="AK191" s="62" t="s">
        <v>2389</v>
      </c>
      <c r="AL191" s="310"/>
      <c r="AM191" s="38"/>
      <c r="AN191" s="117"/>
      <c r="AO191" s="82"/>
      <c r="AP191" s="41"/>
      <c r="AQ191" s="255"/>
      <c r="AR191" s="24"/>
    </row>
    <row r="192" spans="1:44" s="311" customFormat="1" ht="75.75" customHeight="1" x14ac:dyDescent="0.2">
      <c r="A192" s="21" t="s">
        <v>2391</v>
      </c>
      <c r="B192" s="22" t="s">
        <v>2196</v>
      </c>
      <c r="C192" s="22"/>
      <c r="D192" s="56" t="s">
        <v>2392</v>
      </c>
      <c r="E192" s="88" t="s">
        <v>106</v>
      </c>
      <c r="F192" s="89" t="s">
        <v>124</v>
      </c>
      <c r="G192" s="90" t="s">
        <v>73</v>
      </c>
      <c r="H192" s="24"/>
      <c r="I192" s="255" t="s">
        <v>2393</v>
      </c>
      <c r="J192" s="255" t="s">
        <v>2395</v>
      </c>
      <c r="K192" s="267" t="s">
        <v>2197</v>
      </c>
      <c r="L192" s="22" t="s">
        <v>749</v>
      </c>
      <c r="M192" s="22" t="s">
        <v>2203</v>
      </c>
      <c r="N192" s="91" t="s">
        <v>2280</v>
      </c>
      <c r="O192" s="41">
        <v>42370</v>
      </c>
      <c r="P192" s="340">
        <v>15</v>
      </c>
      <c r="Q192" s="41">
        <v>43746</v>
      </c>
      <c r="R192" s="255" t="s">
        <v>290</v>
      </c>
      <c r="S192" s="517" t="s">
        <v>2394</v>
      </c>
      <c r="T192" s="223"/>
      <c r="U192" s="45"/>
      <c r="V192" s="91"/>
      <c r="W192" s="323"/>
      <c r="X192" s="139">
        <v>161.44890000000001</v>
      </c>
      <c r="Y192" s="255"/>
      <c r="Z192" s="140">
        <f>X192-AC192</f>
        <v>148.51228900000001</v>
      </c>
      <c r="AA192" s="74"/>
      <c r="AB192" s="76"/>
      <c r="AC192" s="139">
        <v>12.936610999999999</v>
      </c>
      <c r="AD192" s="139">
        <f>AC192-AF192</f>
        <v>10.349288999999999</v>
      </c>
      <c r="AE192" s="76"/>
      <c r="AF192" s="76">
        <v>2.5873219999999999</v>
      </c>
      <c r="AG192" s="80"/>
      <c r="AH192" s="80">
        <f>2.9+0.694</f>
        <v>3.5939999999999999</v>
      </c>
      <c r="AI192" s="80"/>
      <c r="AJ192" s="62"/>
      <c r="AK192" s="62"/>
      <c r="AL192" s="310"/>
      <c r="AM192" s="38"/>
      <c r="AN192" s="117"/>
      <c r="AO192" s="82"/>
      <c r="AP192" s="41"/>
      <c r="AQ192" s="255"/>
      <c r="AR192" s="24"/>
    </row>
    <row r="193" spans="1:50" s="311" customFormat="1" ht="75.75" customHeight="1" x14ac:dyDescent="0.2">
      <c r="A193" s="21" t="s">
        <v>2396</v>
      </c>
      <c r="B193" s="22" t="s">
        <v>2397</v>
      </c>
      <c r="C193" s="22"/>
      <c r="D193" s="56" t="s">
        <v>2398</v>
      </c>
      <c r="E193" s="24" t="s">
        <v>112</v>
      </c>
      <c r="F193" s="26" t="s">
        <v>123</v>
      </c>
      <c r="G193" s="90" t="s">
        <v>168</v>
      </c>
      <c r="H193" s="24"/>
      <c r="I193" s="255" t="s">
        <v>2400</v>
      </c>
      <c r="J193" s="255" t="s">
        <v>2401</v>
      </c>
      <c r="K193" s="267" t="s">
        <v>2399</v>
      </c>
      <c r="L193" s="22" t="s">
        <v>328</v>
      </c>
      <c r="M193" s="22" t="s">
        <v>2386</v>
      </c>
      <c r="N193" s="22" t="s">
        <v>2386</v>
      </c>
      <c r="O193" s="41">
        <v>43891</v>
      </c>
      <c r="P193" s="340">
        <v>4</v>
      </c>
      <c r="Q193" s="41">
        <v>43895</v>
      </c>
      <c r="R193" s="255" t="s">
        <v>290</v>
      </c>
      <c r="S193" s="518"/>
      <c r="T193" s="223"/>
      <c r="U193" s="45"/>
      <c r="V193" s="91"/>
      <c r="W193" s="323"/>
      <c r="X193" s="139">
        <f t="shared" si="11"/>
        <v>11.621742999999999</v>
      </c>
      <c r="Y193" s="255"/>
      <c r="Z193" s="140">
        <v>0</v>
      </c>
      <c r="AA193" s="74"/>
      <c r="AB193" s="76"/>
      <c r="AC193" s="139">
        <f t="shared" si="10"/>
        <v>11.621742999999999</v>
      </c>
      <c r="AD193" s="139">
        <f>11.621743-AF193</f>
        <v>8.8287429999999993</v>
      </c>
      <c r="AE193" s="139"/>
      <c r="AF193" s="76">
        <v>2.7930000000000001</v>
      </c>
      <c r="AG193" s="80">
        <v>4.0870000000000004E-3</v>
      </c>
      <c r="AH193" s="80">
        <f>AG193</f>
        <v>4.0870000000000004E-3</v>
      </c>
      <c r="AI193" s="80">
        <f>AG193*15</f>
        <v>6.1305000000000005E-2</v>
      </c>
      <c r="AJ193" s="62"/>
      <c r="AK193" s="62"/>
      <c r="AL193" s="310"/>
      <c r="AM193" s="38"/>
      <c r="AN193" s="117"/>
      <c r="AO193" s="82"/>
      <c r="AP193" s="41"/>
      <c r="AQ193" s="255"/>
      <c r="AR193" s="24"/>
    </row>
    <row r="194" spans="1:50" s="311" customFormat="1" ht="75.75" customHeight="1" x14ac:dyDescent="0.2">
      <c r="A194" s="21" t="s">
        <v>2402</v>
      </c>
      <c r="B194" s="22" t="s">
        <v>2403</v>
      </c>
      <c r="C194" s="22"/>
      <c r="D194" s="56" t="s">
        <v>2404</v>
      </c>
      <c r="E194" s="132" t="s">
        <v>112</v>
      </c>
      <c r="F194" s="133" t="s">
        <v>115</v>
      </c>
      <c r="G194" s="134" t="s">
        <v>179</v>
      </c>
      <c r="H194" s="24"/>
      <c r="I194" s="255" t="s">
        <v>2406</v>
      </c>
      <c r="J194" s="255" t="s">
        <v>2407</v>
      </c>
      <c r="K194" s="267" t="s">
        <v>2405</v>
      </c>
      <c r="L194" s="22" t="s">
        <v>434</v>
      </c>
      <c r="M194" s="22" t="s">
        <v>2365</v>
      </c>
      <c r="N194" s="91" t="s">
        <v>2409</v>
      </c>
      <c r="O194" s="41">
        <v>43831</v>
      </c>
      <c r="P194" s="340">
        <v>12</v>
      </c>
      <c r="Q194" s="41">
        <v>43935</v>
      </c>
      <c r="R194" s="255" t="s">
        <v>290</v>
      </c>
      <c r="S194" s="520" t="s">
        <v>2408</v>
      </c>
      <c r="T194" s="223"/>
      <c r="U194" s="45"/>
      <c r="V194" s="91"/>
      <c r="W194" s="323"/>
      <c r="X194" s="139">
        <v>1187.8297459999999</v>
      </c>
      <c r="Y194" s="255"/>
      <c r="Z194" s="140">
        <v>0</v>
      </c>
      <c r="AA194" s="74"/>
      <c r="AB194" s="76">
        <v>0</v>
      </c>
      <c r="AC194" s="139">
        <f t="shared" si="10"/>
        <v>3.1740000000000004</v>
      </c>
      <c r="AD194" s="139">
        <f>3.174-AE194</f>
        <v>2.7</v>
      </c>
      <c r="AE194" s="139">
        <v>0.47399999999999998</v>
      </c>
      <c r="AF194" s="76"/>
      <c r="AG194" s="80">
        <v>0.63107100000000005</v>
      </c>
      <c r="AH194" s="80">
        <v>0.63107100000000005</v>
      </c>
      <c r="AI194" s="80">
        <v>7.5728569999999999</v>
      </c>
      <c r="AJ194" s="62"/>
      <c r="AK194" s="62"/>
      <c r="AL194" s="310"/>
      <c r="AM194" s="38"/>
      <c r="AN194" s="117"/>
      <c r="AO194" s="82"/>
      <c r="AP194" s="41"/>
      <c r="AQ194" s="255"/>
      <c r="AR194" s="24"/>
    </row>
    <row r="195" spans="1:50" s="311" customFormat="1" ht="75.75" customHeight="1" x14ac:dyDescent="0.2">
      <c r="A195" s="21" t="s">
        <v>2424</v>
      </c>
      <c r="B195" s="22" t="s">
        <v>2426</v>
      </c>
      <c r="C195" s="22"/>
      <c r="D195" s="56" t="s">
        <v>2427</v>
      </c>
      <c r="E195" s="88" t="s">
        <v>106</v>
      </c>
      <c r="F195" s="89" t="s">
        <v>107</v>
      </c>
      <c r="G195" s="90" t="s">
        <v>346</v>
      </c>
      <c r="H195" s="24"/>
      <c r="I195" s="255" t="s">
        <v>2429</v>
      </c>
      <c r="J195" s="255" t="s">
        <v>2430</v>
      </c>
      <c r="K195" s="267" t="s">
        <v>2428</v>
      </c>
      <c r="L195" s="22" t="s">
        <v>436</v>
      </c>
      <c r="M195" s="22" t="s">
        <v>436</v>
      </c>
      <c r="N195" s="91" t="s">
        <v>2431</v>
      </c>
      <c r="O195" s="41">
        <v>44044</v>
      </c>
      <c r="P195" s="340">
        <v>0.5</v>
      </c>
      <c r="Q195" s="41">
        <v>44056</v>
      </c>
      <c r="R195" s="255" t="s">
        <v>288</v>
      </c>
      <c r="S195" s="521"/>
      <c r="T195" s="223"/>
      <c r="U195" s="45"/>
      <c r="V195" s="91"/>
      <c r="W195" s="323"/>
      <c r="X195" s="139">
        <f t="shared" si="11"/>
        <v>0.25461</v>
      </c>
      <c r="Y195" s="255"/>
      <c r="Z195" s="140"/>
      <c r="AA195" s="74"/>
      <c r="AB195" s="76"/>
      <c r="AC195" s="139">
        <v>0.25461</v>
      </c>
      <c r="AD195" s="139"/>
      <c r="AE195" s="139"/>
      <c r="AF195" s="76"/>
      <c r="AG195" s="80"/>
      <c r="AH195" s="80"/>
      <c r="AI195" s="80"/>
      <c r="AJ195" s="62"/>
      <c r="AK195" s="62"/>
      <c r="AL195" s="310"/>
      <c r="AM195" s="38"/>
      <c r="AN195" s="117"/>
      <c r="AO195" s="82"/>
      <c r="AP195" s="41"/>
      <c r="AQ195" s="255"/>
      <c r="AR195" s="24"/>
    </row>
    <row r="196" spans="1:50" s="311" customFormat="1" ht="75.75" customHeight="1" x14ac:dyDescent="0.2">
      <c r="A196" s="21" t="s">
        <v>2425</v>
      </c>
      <c r="B196" s="22" t="s">
        <v>2433</v>
      </c>
      <c r="C196" s="22" t="s">
        <v>1099</v>
      </c>
      <c r="D196" s="56" t="s">
        <v>2432</v>
      </c>
      <c r="E196" s="135" t="s">
        <v>106</v>
      </c>
      <c r="F196" s="136" t="s">
        <v>107</v>
      </c>
      <c r="G196" s="137" t="s">
        <v>346</v>
      </c>
      <c r="H196" s="90"/>
      <c r="I196" s="255" t="s">
        <v>1301</v>
      </c>
      <c r="J196" s="263" t="s">
        <v>652</v>
      </c>
      <c r="K196" s="28" t="s">
        <v>351</v>
      </c>
      <c r="L196" s="22" t="s">
        <v>608</v>
      </c>
      <c r="M196" s="22" t="s">
        <v>650</v>
      </c>
      <c r="N196" s="45" t="s">
        <v>651</v>
      </c>
      <c r="O196" s="67">
        <v>41275</v>
      </c>
      <c r="P196" s="82">
        <v>6</v>
      </c>
      <c r="Q196" s="41">
        <v>44056</v>
      </c>
      <c r="R196" s="255" t="s">
        <v>290</v>
      </c>
      <c r="S196" s="521" t="s">
        <v>653</v>
      </c>
      <c r="T196" s="223"/>
      <c r="U196" s="296"/>
      <c r="V196" s="91"/>
      <c r="W196" s="120"/>
      <c r="X196" s="139">
        <f t="shared" si="11"/>
        <v>5.8214750000000004</v>
      </c>
      <c r="Y196" s="255"/>
      <c r="Z196" s="140"/>
      <c r="AA196" s="74"/>
      <c r="AB196" s="72"/>
      <c r="AC196" s="76">
        <f t="shared" ref="AC196:AC197" si="12">SUM(AD196:AF196)</f>
        <v>5.8214750000000004</v>
      </c>
      <c r="AD196" s="76">
        <f>5.821475</f>
        <v>5.8214750000000004</v>
      </c>
      <c r="AE196" s="76"/>
      <c r="AF196" s="76"/>
      <c r="AG196" s="69">
        <v>0.8</v>
      </c>
      <c r="AH196" s="69">
        <v>0.8</v>
      </c>
      <c r="AI196" s="58"/>
      <c r="AJ196" s="62" t="s">
        <v>655</v>
      </c>
      <c r="AK196" s="62" t="s">
        <v>654</v>
      </c>
      <c r="AL196" s="350" t="s">
        <v>1302</v>
      </c>
      <c r="AM196" s="38"/>
      <c r="AN196" s="41"/>
      <c r="AO196" s="82"/>
      <c r="AP196" s="41"/>
      <c r="AQ196" s="282" t="s">
        <v>656</v>
      </c>
      <c r="AR196" s="24"/>
      <c r="AS196"/>
      <c r="AT196"/>
      <c r="AU196"/>
      <c r="AV196"/>
      <c r="AW196"/>
      <c r="AX196"/>
    </row>
    <row r="197" spans="1:50" s="311" customFormat="1" ht="54" customHeight="1" x14ac:dyDescent="0.2">
      <c r="A197" s="21" t="s">
        <v>2435</v>
      </c>
      <c r="B197" s="22" t="s">
        <v>2436</v>
      </c>
      <c r="C197" s="22"/>
      <c r="D197" s="56" t="s">
        <v>2437</v>
      </c>
      <c r="E197" s="135" t="s">
        <v>106</v>
      </c>
      <c r="F197" s="136" t="s">
        <v>107</v>
      </c>
      <c r="G197" s="137" t="s">
        <v>167</v>
      </c>
      <c r="H197" s="90"/>
      <c r="I197" s="255" t="s">
        <v>2444</v>
      </c>
      <c r="J197" s="263" t="s">
        <v>2445</v>
      </c>
      <c r="K197" s="28" t="s">
        <v>2443</v>
      </c>
      <c r="L197" s="22" t="s">
        <v>1437</v>
      </c>
      <c r="M197" s="22" t="s">
        <v>620</v>
      </c>
      <c r="N197" s="91" t="s">
        <v>2446</v>
      </c>
      <c r="O197" s="67">
        <v>43831</v>
      </c>
      <c r="P197" s="82">
        <v>3</v>
      </c>
      <c r="Q197" s="41">
        <v>44102</v>
      </c>
      <c r="R197" s="255" t="s">
        <v>290</v>
      </c>
      <c r="S197" s="527"/>
      <c r="T197" s="223"/>
      <c r="U197" s="296"/>
      <c r="V197" s="91"/>
      <c r="W197" s="120"/>
      <c r="X197" s="139">
        <f t="shared" si="11"/>
        <v>2.0839379999999998</v>
      </c>
      <c r="Y197" s="255"/>
      <c r="Z197" s="140">
        <f>2.083938-AC197</f>
        <v>1.3591289999999998</v>
      </c>
      <c r="AA197" s="74"/>
      <c r="AB197" s="72"/>
      <c r="AC197" s="76">
        <f t="shared" si="12"/>
        <v>0.72480900000000004</v>
      </c>
      <c r="AD197" s="76">
        <v>0.540663</v>
      </c>
      <c r="AE197" s="76"/>
      <c r="AF197" s="76">
        <v>0.184146</v>
      </c>
      <c r="AG197" s="69"/>
      <c r="AH197" s="80">
        <v>6.8000000000000005E-4</v>
      </c>
      <c r="AI197" s="58"/>
      <c r="AJ197" s="62"/>
      <c r="AK197" s="62"/>
      <c r="AL197" s="350"/>
      <c r="AM197" s="38"/>
      <c r="AN197" s="41"/>
      <c r="AO197" s="82"/>
      <c r="AP197" s="41"/>
      <c r="AQ197" s="282"/>
      <c r="AR197" s="24"/>
      <c r="AS197"/>
      <c r="AT197"/>
      <c r="AU197"/>
      <c r="AV197"/>
      <c r="AW197"/>
      <c r="AX197"/>
    </row>
    <row r="198" spans="1:50" s="311" customFormat="1" ht="59.25" customHeight="1" x14ac:dyDescent="0.2">
      <c r="A198" s="21" t="s">
        <v>2438</v>
      </c>
      <c r="B198" s="22" t="s">
        <v>2440</v>
      </c>
      <c r="C198" s="22"/>
      <c r="D198" s="56" t="s">
        <v>2439</v>
      </c>
      <c r="E198" s="24" t="s">
        <v>106</v>
      </c>
      <c r="F198" s="26" t="s">
        <v>108</v>
      </c>
      <c r="G198" s="137" t="s">
        <v>1809</v>
      </c>
      <c r="H198" s="90"/>
      <c r="I198" s="255" t="s">
        <v>2447</v>
      </c>
      <c r="J198" s="263" t="s">
        <v>2448</v>
      </c>
      <c r="K198" s="28" t="s">
        <v>2442</v>
      </c>
      <c r="L198" s="22" t="s">
        <v>749</v>
      </c>
      <c r="M198" s="28" t="s">
        <v>252</v>
      </c>
      <c r="N198" s="28" t="s">
        <v>252</v>
      </c>
      <c r="O198" s="67">
        <v>44105</v>
      </c>
      <c r="P198" s="82">
        <f>10/12</f>
        <v>0.83333333333333337</v>
      </c>
      <c r="Q198" s="41">
        <v>44106</v>
      </c>
      <c r="R198" s="255" t="s">
        <v>288</v>
      </c>
      <c r="S198" s="528"/>
      <c r="T198" s="223"/>
      <c r="U198" s="296"/>
      <c r="V198" s="91"/>
      <c r="W198" s="120"/>
      <c r="X198" s="139">
        <f t="shared" si="11"/>
        <v>0.30401</v>
      </c>
      <c r="Y198" s="255"/>
      <c r="Z198" s="140"/>
      <c r="AA198" s="74"/>
      <c r="AB198" s="72"/>
      <c r="AC198" s="76">
        <v>0.30401</v>
      </c>
      <c r="AD198" s="76"/>
      <c r="AE198" s="76"/>
      <c r="AF198" s="76"/>
      <c r="AG198" s="69">
        <v>1.764699</v>
      </c>
      <c r="AH198" s="69">
        <v>1.764699</v>
      </c>
      <c r="AI198" s="58"/>
      <c r="AJ198" s="62"/>
      <c r="AK198" s="62"/>
      <c r="AL198" s="350"/>
      <c r="AM198" s="38"/>
      <c r="AN198" s="41"/>
      <c r="AO198" s="82"/>
      <c r="AP198" s="41"/>
      <c r="AQ198" s="282"/>
      <c r="AR198" s="24"/>
      <c r="AS198"/>
      <c r="AT198"/>
      <c r="AU198"/>
      <c r="AV198"/>
      <c r="AW198"/>
      <c r="AX198"/>
    </row>
    <row r="199" spans="1:50" s="311" customFormat="1" ht="102" customHeight="1" x14ac:dyDescent="0.2">
      <c r="A199" s="21" t="s">
        <v>2450</v>
      </c>
      <c r="B199" s="22" t="s">
        <v>2453</v>
      </c>
      <c r="C199" s="22"/>
      <c r="D199" s="56" t="s">
        <v>2451</v>
      </c>
      <c r="E199" s="24" t="s">
        <v>106</v>
      </c>
      <c r="F199" s="26" t="s">
        <v>108</v>
      </c>
      <c r="G199" s="137" t="s">
        <v>2452</v>
      </c>
      <c r="H199" s="90"/>
      <c r="I199" s="255" t="s">
        <v>2456</v>
      </c>
      <c r="J199" s="263" t="s">
        <v>2455</v>
      </c>
      <c r="K199" s="28" t="s">
        <v>2454</v>
      </c>
      <c r="L199" s="22" t="s">
        <v>27</v>
      </c>
      <c r="M199" s="28" t="s">
        <v>1603</v>
      </c>
      <c r="N199" s="45" t="s">
        <v>94</v>
      </c>
      <c r="O199" s="67">
        <v>44197</v>
      </c>
      <c r="P199" s="82">
        <v>5</v>
      </c>
      <c r="Q199" s="41">
        <v>44206</v>
      </c>
      <c r="R199" s="255" t="s">
        <v>290</v>
      </c>
      <c r="S199" s="530"/>
      <c r="T199" s="223"/>
      <c r="U199" s="296"/>
      <c r="V199" s="91"/>
      <c r="W199" s="120"/>
      <c r="X199" s="139">
        <f t="shared" si="11"/>
        <v>12.988</v>
      </c>
      <c r="Y199" s="255"/>
      <c r="Z199" s="140">
        <f>12.998-9.998</f>
        <v>3</v>
      </c>
      <c r="AA199" s="74"/>
      <c r="AB199" s="72"/>
      <c r="AC199" s="76">
        <f>+AD199+AF199</f>
        <v>9.9879999999999995</v>
      </c>
      <c r="AD199" s="76">
        <f>9.988-1.6</f>
        <v>8.3879999999999999</v>
      </c>
      <c r="AE199" s="76"/>
      <c r="AF199" s="76">
        <v>1.6</v>
      </c>
      <c r="AG199" s="69"/>
      <c r="AH199" s="69">
        <v>2.4570000000000002E-2</v>
      </c>
      <c r="AI199" s="58"/>
      <c r="AJ199" s="62" t="s">
        <v>2457</v>
      </c>
      <c r="AK199" s="62" t="s">
        <v>2458</v>
      </c>
      <c r="AL199" s="350"/>
      <c r="AM199" s="38"/>
      <c r="AN199" s="41"/>
      <c r="AO199" s="82"/>
      <c r="AP199" s="41"/>
      <c r="AQ199" s="282"/>
      <c r="AR199" s="24"/>
      <c r="AS199"/>
      <c r="AT199"/>
      <c r="AU199"/>
      <c r="AV199"/>
      <c r="AW199"/>
      <c r="AX199"/>
    </row>
    <row r="200" spans="1:50" s="311" customFormat="1" ht="102" customHeight="1" x14ac:dyDescent="0.2">
      <c r="A200" s="21" t="s">
        <v>2459</v>
      </c>
      <c r="B200" s="22" t="s">
        <v>2460</v>
      </c>
      <c r="C200" s="22"/>
      <c r="D200" s="56" t="s">
        <v>2461</v>
      </c>
      <c r="E200" s="24" t="s">
        <v>106</v>
      </c>
      <c r="F200" s="26" t="s">
        <v>108</v>
      </c>
      <c r="G200" s="137" t="s">
        <v>165</v>
      </c>
      <c r="H200" s="90"/>
      <c r="I200" s="255" t="s">
        <v>2466</v>
      </c>
      <c r="J200" s="263" t="s">
        <v>2463</v>
      </c>
      <c r="K200" s="28" t="s">
        <v>2464</v>
      </c>
      <c r="L200" s="28" t="s">
        <v>436</v>
      </c>
      <c r="M200" s="45" t="s">
        <v>1624</v>
      </c>
      <c r="N200" s="45" t="s">
        <v>2462</v>
      </c>
      <c r="O200" s="67">
        <v>44562</v>
      </c>
      <c r="P200" s="82">
        <v>12</v>
      </c>
      <c r="Q200" s="41">
        <v>44581</v>
      </c>
      <c r="R200" s="255" t="s">
        <v>312</v>
      </c>
      <c r="S200" s="531"/>
      <c r="T200" s="223"/>
      <c r="U200" s="296"/>
      <c r="V200" s="91"/>
      <c r="W200" s="120"/>
      <c r="X200" s="139">
        <f t="shared" si="11"/>
        <v>0</v>
      </c>
      <c r="Y200" s="255"/>
      <c r="Z200" s="140"/>
      <c r="AA200" s="74"/>
      <c r="AB200" s="72"/>
      <c r="AC200" s="76">
        <v>0</v>
      </c>
      <c r="AD200" s="76"/>
      <c r="AE200" s="76"/>
      <c r="AF200" s="76"/>
      <c r="AG200" s="69"/>
      <c r="AH200" s="69"/>
      <c r="AI200" s="58"/>
      <c r="AJ200" s="62" t="s">
        <v>2465</v>
      </c>
      <c r="AK200" s="62"/>
      <c r="AL200" s="350"/>
      <c r="AM200" s="38"/>
      <c r="AN200" s="41"/>
      <c r="AO200" s="82"/>
      <c r="AP200" s="41"/>
      <c r="AQ200" s="282"/>
      <c r="AR200" s="24"/>
      <c r="AS200"/>
      <c r="AT200"/>
      <c r="AU200"/>
      <c r="AV200"/>
      <c r="AW200"/>
      <c r="AX200"/>
    </row>
    <row r="201" spans="1:50" s="311" customFormat="1" ht="43.5" customHeight="1" x14ac:dyDescent="0.2">
      <c r="A201" s="21" t="s">
        <v>2467</v>
      </c>
      <c r="B201" s="22" t="s">
        <v>2469</v>
      </c>
      <c r="C201" s="22"/>
      <c r="D201" s="56" t="s">
        <v>980</v>
      </c>
      <c r="E201" s="24" t="s">
        <v>106</v>
      </c>
      <c r="F201" s="26" t="s">
        <v>108</v>
      </c>
      <c r="G201" s="24" t="s">
        <v>55</v>
      </c>
      <c r="H201" s="90"/>
      <c r="I201" s="255" t="s">
        <v>2471</v>
      </c>
      <c r="J201" s="263"/>
      <c r="K201" s="28" t="s">
        <v>2470</v>
      </c>
      <c r="L201" s="28" t="s">
        <v>328</v>
      </c>
      <c r="M201" s="22" t="s">
        <v>984</v>
      </c>
      <c r="N201" s="22" t="s">
        <v>984</v>
      </c>
      <c r="O201" s="67">
        <v>43466</v>
      </c>
      <c r="P201" s="82">
        <v>10</v>
      </c>
      <c r="Q201" s="41">
        <v>44315</v>
      </c>
      <c r="R201" s="255" t="s">
        <v>312</v>
      </c>
      <c r="S201" s="532"/>
      <c r="T201" s="223"/>
      <c r="U201" s="296"/>
      <c r="V201" s="91"/>
      <c r="W201" s="120"/>
      <c r="X201" s="139">
        <f>+Z201</f>
        <v>1.03</v>
      </c>
      <c r="Y201" s="255"/>
      <c r="Z201" s="140">
        <f>0.47+0.56</f>
        <v>1.03</v>
      </c>
      <c r="AA201" s="74"/>
      <c r="AB201" s="72"/>
      <c r="AC201" s="76">
        <v>0</v>
      </c>
      <c r="AD201" s="76"/>
      <c r="AE201" s="76"/>
      <c r="AF201" s="76"/>
      <c r="AG201" s="69">
        <v>0.15</v>
      </c>
      <c r="AH201" s="69"/>
      <c r="AI201" s="58">
        <v>2.12</v>
      </c>
      <c r="AJ201" s="62"/>
      <c r="AK201" s="62"/>
      <c r="AL201" s="350"/>
      <c r="AM201" s="38"/>
      <c r="AN201" s="41"/>
      <c r="AO201" s="82"/>
      <c r="AP201" s="41"/>
      <c r="AQ201" s="282"/>
      <c r="AR201" s="24"/>
      <c r="AS201"/>
      <c r="AT201"/>
      <c r="AU201"/>
      <c r="AV201"/>
      <c r="AW201"/>
      <c r="AX201"/>
    </row>
    <row r="202" spans="1:50" s="311" customFormat="1" ht="124.5" customHeight="1" x14ac:dyDescent="0.2">
      <c r="A202" s="21" t="s">
        <v>2468</v>
      </c>
      <c r="B202" s="22" t="s">
        <v>2473</v>
      </c>
      <c r="C202" s="22"/>
      <c r="D202" s="56" t="s">
        <v>2472</v>
      </c>
      <c r="E202" s="24" t="s">
        <v>105</v>
      </c>
      <c r="F202" s="26" t="s">
        <v>122</v>
      </c>
      <c r="G202" s="24" t="s">
        <v>59</v>
      </c>
      <c r="H202" s="90"/>
      <c r="I202" s="255" t="s">
        <v>2476</v>
      </c>
      <c r="J202" s="263" t="s">
        <v>2477</v>
      </c>
      <c r="K202" s="28" t="s">
        <v>2474</v>
      </c>
      <c r="L202" s="28" t="s">
        <v>608</v>
      </c>
      <c r="M202" s="45" t="s">
        <v>2475</v>
      </c>
      <c r="N202" s="45" t="s">
        <v>1618</v>
      </c>
      <c r="O202" s="67">
        <v>42736</v>
      </c>
      <c r="P202" s="82">
        <v>5</v>
      </c>
      <c r="Q202" s="41">
        <v>44385</v>
      </c>
      <c r="R202" s="255" t="s">
        <v>312</v>
      </c>
      <c r="S202" s="532"/>
      <c r="T202" s="223"/>
      <c r="U202" s="296"/>
      <c r="V202" s="91"/>
      <c r="W202" s="120"/>
      <c r="X202" s="139">
        <f t="shared" ref="X202:X204" si="13">Z202+AB202+AC202</f>
        <v>7.9513230000000004</v>
      </c>
      <c r="Y202" s="255"/>
      <c r="Z202" s="140">
        <v>0.15</v>
      </c>
      <c r="AA202" s="74"/>
      <c r="AB202" s="72">
        <v>7.801323</v>
      </c>
      <c r="AC202" s="76">
        <v>0</v>
      </c>
      <c r="AD202" s="76"/>
      <c r="AE202" s="76"/>
      <c r="AF202" s="76"/>
      <c r="AG202" s="69"/>
      <c r="AH202" s="69">
        <f>0.306+0.132321</f>
        <v>0.43832099999999996</v>
      </c>
      <c r="AI202" s="58"/>
      <c r="AJ202" s="62"/>
      <c r="AK202" s="62"/>
      <c r="AL202" s="350"/>
      <c r="AM202" s="38"/>
      <c r="AN202" s="41"/>
      <c r="AO202" s="82"/>
      <c r="AP202" s="41"/>
      <c r="AQ202" s="282"/>
      <c r="AR202" s="24"/>
      <c r="AS202"/>
      <c r="AT202"/>
      <c r="AU202"/>
      <c r="AV202"/>
      <c r="AW202"/>
      <c r="AX202"/>
    </row>
    <row r="203" spans="1:50" s="311" customFormat="1" ht="75" customHeight="1" x14ac:dyDescent="0.2">
      <c r="A203" s="21" t="s">
        <v>2480</v>
      </c>
      <c r="B203" s="22" t="s">
        <v>2482</v>
      </c>
      <c r="C203" s="22"/>
      <c r="D203" s="56" t="s">
        <v>2483</v>
      </c>
      <c r="E203" s="132" t="s">
        <v>106</v>
      </c>
      <c r="F203" s="133" t="s">
        <v>121</v>
      </c>
      <c r="G203" s="134" t="s">
        <v>58</v>
      </c>
      <c r="H203" s="90"/>
      <c r="I203" s="255" t="s">
        <v>2485</v>
      </c>
      <c r="J203" s="255" t="s">
        <v>2484</v>
      </c>
      <c r="K203" s="267" t="s">
        <v>2486</v>
      </c>
      <c r="L203" s="28" t="s">
        <v>436</v>
      </c>
      <c r="M203" s="45" t="s">
        <v>1624</v>
      </c>
      <c r="N203" s="45" t="s">
        <v>2462</v>
      </c>
      <c r="O203" s="67">
        <v>44562</v>
      </c>
      <c r="P203" s="82">
        <v>8</v>
      </c>
      <c r="Q203" s="41">
        <v>44690</v>
      </c>
      <c r="R203" s="255" t="s">
        <v>290</v>
      </c>
      <c r="S203" s="533"/>
      <c r="T203" s="223"/>
      <c r="U203" s="296"/>
      <c r="V203" s="91"/>
      <c r="W203" s="120"/>
      <c r="X203" s="139">
        <f t="shared" si="13"/>
        <v>39.659999999999997</v>
      </c>
      <c r="Y203" s="255"/>
      <c r="Z203" s="140">
        <v>39.659999999999997</v>
      </c>
      <c r="AA203" s="74"/>
      <c r="AB203" s="72"/>
      <c r="AC203" s="76"/>
      <c r="AD203" s="76"/>
      <c r="AE203" s="76"/>
      <c r="AF203" s="76"/>
      <c r="AG203" s="69">
        <v>7.8200000000000006E-2</v>
      </c>
      <c r="AH203" s="69"/>
      <c r="AI203" s="58"/>
      <c r="AJ203" s="62"/>
      <c r="AK203" s="62"/>
      <c r="AL203" s="350"/>
      <c r="AM203" s="38"/>
      <c r="AN203" s="41"/>
      <c r="AO203" s="82"/>
      <c r="AP203" s="41"/>
      <c r="AQ203" s="282"/>
      <c r="AR203" s="24"/>
      <c r="AS203"/>
      <c r="AT203"/>
      <c r="AU203"/>
      <c r="AV203"/>
      <c r="AW203"/>
      <c r="AX203"/>
    </row>
    <row r="204" spans="1:50" s="311" customFormat="1" ht="75" customHeight="1" x14ac:dyDescent="0.2">
      <c r="A204" s="21" t="s">
        <v>2481</v>
      </c>
      <c r="B204" s="22" t="s">
        <v>2488</v>
      </c>
      <c r="C204" s="22"/>
      <c r="D204" s="56" t="s">
        <v>2487</v>
      </c>
      <c r="E204" s="132" t="s">
        <v>106</v>
      </c>
      <c r="F204" s="133" t="s">
        <v>121</v>
      </c>
      <c r="G204" s="134" t="s">
        <v>58</v>
      </c>
      <c r="H204" s="90"/>
      <c r="I204" s="255" t="s">
        <v>2489</v>
      </c>
      <c r="J204" s="24" t="s">
        <v>2490</v>
      </c>
      <c r="K204" s="267" t="s">
        <v>2486</v>
      </c>
      <c r="L204" s="28" t="s">
        <v>436</v>
      </c>
      <c r="M204" s="45" t="s">
        <v>2492</v>
      </c>
      <c r="N204" s="45" t="s">
        <v>2491</v>
      </c>
      <c r="O204" s="67">
        <v>44562</v>
      </c>
      <c r="P204" s="82">
        <v>8</v>
      </c>
      <c r="Q204" s="41">
        <v>44690</v>
      </c>
      <c r="R204" s="255" t="s">
        <v>290</v>
      </c>
      <c r="S204" s="534"/>
      <c r="T204" s="223"/>
      <c r="U204" s="296"/>
      <c r="V204" s="91"/>
      <c r="W204" s="120"/>
      <c r="X204" s="139">
        <f t="shared" si="13"/>
        <v>21.457509999999999</v>
      </c>
      <c r="Y204" s="255"/>
      <c r="Z204" s="140">
        <v>21.457509999999999</v>
      </c>
      <c r="AA204" s="74"/>
      <c r="AB204" s="72"/>
      <c r="AC204" s="76"/>
      <c r="AD204" s="76"/>
      <c r="AE204" s="76"/>
      <c r="AF204" s="76"/>
      <c r="AG204" s="69">
        <v>0.27129999999999999</v>
      </c>
      <c r="AH204" s="69"/>
      <c r="AI204" s="58"/>
      <c r="AJ204" s="62"/>
      <c r="AK204" s="62"/>
      <c r="AL204" s="350"/>
      <c r="AM204" s="38"/>
      <c r="AN204" s="41"/>
      <c r="AO204" s="82"/>
      <c r="AP204" s="41"/>
      <c r="AQ204" s="282"/>
      <c r="AR204" s="24"/>
      <c r="AS204"/>
      <c r="AT204"/>
      <c r="AU204"/>
      <c r="AV204"/>
      <c r="AW204"/>
      <c r="AX204"/>
    </row>
    <row r="205" spans="1:50" ht="17.25" customHeight="1" x14ac:dyDescent="0.2">
      <c r="A205" s="49"/>
      <c r="B205" s="129"/>
      <c r="C205" s="129"/>
      <c r="D205" s="55"/>
      <c r="E205" s="29"/>
      <c r="F205" s="30"/>
      <c r="G205" s="529" t="s">
        <v>2441</v>
      </c>
      <c r="H205" s="29"/>
      <c r="I205" s="271"/>
      <c r="J205" s="271"/>
      <c r="K205" s="265"/>
      <c r="L205" s="32"/>
      <c r="M205" s="32"/>
      <c r="N205" s="48"/>
      <c r="O205" s="68"/>
      <c r="P205" s="83"/>
      <c r="Q205" s="34"/>
      <c r="R205" s="271"/>
      <c r="S205" s="48"/>
      <c r="T205" s="70"/>
      <c r="U205" s="298"/>
      <c r="V205" s="48"/>
      <c r="W205" s="121"/>
      <c r="X205" s="35"/>
      <c r="Y205" s="271"/>
      <c r="Z205" s="303"/>
      <c r="AA205" s="75"/>
      <c r="AB205" s="79"/>
      <c r="AC205" s="79"/>
      <c r="AD205" s="303"/>
      <c r="AE205" s="303"/>
      <c r="AF205" s="303"/>
      <c r="AG205" s="33"/>
      <c r="AH205" s="33"/>
      <c r="AI205" s="59"/>
      <c r="AJ205" s="60"/>
      <c r="AK205" s="152"/>
      <c r="AL205" s="152"/>
      <c r="AM205" s="35"/>
      <c r="AN205" s="480"/>
      <c r="AO205" s="34"/>
      <c r="AP205" s="50"/>
      <c r="AQ205" s="256"/>
      <c r="AR205" s="29"/>
    </row>
    <row r="206" spans="1:50" ht="24" customHeight="1" x14ac:dyDescent="0.2">
      <c r="A206" s="1"/>
      <c r="B206" s="144"/>
      <c r="C206" s="144"/>
      <c r="D206" s="535" t="s">
        <v>1166</v>
      </c>
      <c r="E206" s="536"/>
      <c r="F206" s="536"/>
      <c r="G206" s="536"/>
      <c r="H206" s="81"/>
      <c r="I206" s="1"/>
      <c r="J206" s="1"/>
      <c r="K206" s="5"/>
      <c r="L206" s="1"/>
      <c r="M206" s="1"/>
      <c r="N206" s="42"/>
      <c r="O206" s="66"/>
      <c r="P206" s="84"/>
      <c r="Q206" s="7"/>
      <c r="R206" s="52"/>
      <c r="S206" s="63"/>
      <c r="T206" s="199"/>
      <c r="U206" s="286"/>
      <c r="V206" s="66"/>
      <c r="W206" s="84">
        <f>SUM(W4:W205)</f>
        <v>134.97472814285712</v>
      </c>
      <c r="X206" s="84">
        <f>SUM(X4:X205)</f>
        <v>71533.810008804227</v>
      </c>
      <c r="Y206" s="52"/>
      <c r="Z206" s="304"/>
      <c r="AA206" s="73"/>
      <c r="AB206" s="73"/>
      <c r="AC206" s="251">
        <f>SUM(AC4:AC205)</f>
        <v>14814.328963097769</v>
      </c>
      <c r="AD206" s="307">
        <f>SUM(AD4:AD205)</f>
        <v>12551.702079785804</v>
      </c>
      <c r="AE206" s="308"/>
      <c r="AF206" s="308"/>
      <c r="AG206" s="6"/>
      <c r="AH206" s="307">
        <f>SUM(AH4:AH205)</f>
        <v>421.00320153990481</v>
      </c>
      <c r="AI206" s="6"/>
      <c r="AJ206" s="6"/>
      <c r="AM206" s="7"/>
      <c r="AN206" s="7"/>
      <c r="AO206" s="7"/>
      <c r="AP206" s="7"/>
      <c r="AQ206" s="272"/>
      <c r="AR206" s="11"/>
    </row>
    <row r="207" spans="1:50" x14ac:dyDescent="0.2">
      <c r="P207" s="85"/>
      <c r="R207" s="272"/>
      <c r="W207" s="123"/>
      <c r="Z207" s="305"/>
      <c r="AD207" s="305"/>
      <c r="AE207" s="305"/>
      <c r="AF207" s="305"/>
      <c r="AQ207" s="272"/>
      <c r="AR207" s="272"/>
    </row>
    <row r="208" spans="1:50" x14ac:dyDescent="0.2">
      <c r="P208" s="85"/>
      <c r="R208" s="272"/>
      <c r="W208" s="123"/>
      <c r="Z208" s="305"/>
      <c r="AD208" s="305"/>
      <c r="AE208" s="305"/>
      <c r="AF208" s="305"/>
      <c r="AQ208" s="272"/>
      <c r="AR208" s="272"/>
    </row>
    <row r="209" spans="16:44" x14ac:dyDescent="0.2">
      <c r="P209" s="85"/>
      <c r="R209" s="272"/>
      <c r="W209" s="123"/>
      <c r="Z209" s="305"/>
      <c r="AD209" s="305"/>
      <c r="AE209" s="305"/>
      <c r="AF209" s="305"/>
      <c r="AQ209" s="272"/>
      <c r="AR209" s="272"/>
    </row>
    <row r="210" spans="16:44" x14ac:dyDescent="0.2">
      <c r="P210" s="85"/>
      <c r="R210" s="272"/>
      <c r="W210" s="123"/>
      <c r="Z210" s="305"/>
      <c r="AD210" s="305"/>
      <c r="AE210" s="305"/>
      <c r="AF210" s="305"/>
      <c r="AQ210" s="272"/>
      <c r="AR210" s="272"/>
    </row>
    <row r="211" spans="16:44" x14ac:dyDescent="0.2">
      <c r="P211" s="85"/>
      <c r="R211" s="272"/>
      <c r="W211" s="123"/>
      <c r="Z211" s="305"/>
      <c r="AD211" s="305"/>
      <c r="AE211" s="305"/>
      <c r="AF211" s="305"/>
      <c r="AQ211" s="272"/>
      <c r="AR211" s="272"/>
    </row>
    <row r="212" spans="16:44" x14ac:dyDescent="0.2">
      <c r="P212" s="85"/>
      <c r="R212" s="272"/>
      <c r="W212" s="123"/>
      <c r="Z212" s="305"/>
      <c r="AD212" s="305"/>
      <c r="AE212" s="305"/>
      <c r="AF212" s="305"/>
      <c r="AQ212" s="272"/>
      <c r="AR212" s="272"/>
    </row>
    <row r="213" spans="16:44" x14ac:dyDescent="0.2">
      <c r="P213" s="85"/>
      <c r="R213" s="272"/>
      <c r="W213" s="123"/>
      <c r="Z213" s="305"/>
      <c r="AD213" s="305"/>
      <c r="AE213" s="305"/>
      <c r="AF213" s="305"/>
      <c r="AQ213" s="272"/>
      <c r="AR213" s="272"/>
    </row>
    <row r="214" spans="16:44" x14ac:dyDescent="0.2">
      <c r="P214" s="85"/>
      <c r="R214" s="272"/>
      <c r="W214" s="123"/>
      <c r="Z214" s="305"/>
      <c r="AD214" s="305"/>
      <c r="AE214" s="305"/>
      <c r="AF214" s="305"/>
      <c r="AQ214" s="272"/>
      <c r="AR214" s="272"/>
    </row>
    <row r="215" spans="16:44" x14ac:dyDescent="0.2">
      <c r="P215" s="85"/>
      <c r="R215" s="272"/>
      <c r="W215" s="123"/>
      <c r="Z215" s="305"/>
      <c r="AQ215" s="272"/>
      <c r="AR215" s="272"/>
    </row>
    <row r="216" spans="16:44" x14ac:dyDescent="0.2">
      <c r="P216" s="85"/>
      <c r="R216" s="272"/>
      <c r="W216" s="123"/>
      <c r="Z216" s="305"/>
      <c r="AQ216" s="272"/>
      <c r="AR216" s="272"/>
    </row>
    <row r="217" spans="16:44" x14ac:dyDescent="0.2">
      <c r="P217" s="85"/>
      <c r="R217" s="272"/>
      <c r="W217" s="123"/>
      <c r="Z217" s="305"/>
      <c r="AQ217" s="272"/>
      <c r="AR217" s="272"/>
    </row>
    <row r="218" spans="16:44" x14ac:dyDescent="0.2">
      <c r="P218" s="85"/>
      <c r="R218" s="272"/>
      <c r="W218" s="123"/>
      <c r="Z218" s="305"/>
      <c r="AQ218" s="272"/>
      <c r="AR218" s="272"/>
    </row>
    <row r="219" spans="16:44" x14ac:dyDescent="0.2">
      <c r="P219" s="85"/>
      <c r="R219" s="272"/>
      <c r="W219" s="123"/>
      <c r="Z219" s="305"/>
      <c r="AQ219" s="272"/>
      <c r="AR219" s="272"/>
    </row>
    <row r="220" spans="16:44" x14ac:dyDescent="0.2">
      <c r="R220" s="272"/>
      <c r="W220" s="123"/>
      <c r="Z220" s="305"/>
      <c r="AQ220" s="272"/>
      <c r="AR220" s="272"/>
    </row>
    <row r="221" spans="16:44" x14ac:dyDescent="0.2">
      <c r="R221" s="272"/>
      <c r="W221" s="123"/>
      <c r="Z221" s="305"/>
      <c r="AQ221" s="272"/>
      <c r="AR221" s="272"/>
    </row>
    <row r="222" spans="16:44" x14ac:dyDescent="0.2">
      <c r="R222" s="272"/>
      <c r="W222" s="123"/>
      <c r="Z222" s="305"/>
      <c r="AQ222" s="272"/>
      <c r="AR222" s="272"/>
    </row>
    <row r="223" spans="16:44" x14ac:dyDescent="0.2">
      <c r="R223" s="272"/>
      <c r="W223" s="123"/>
      <c r="Z223" s="305"/>
    </row>
    <row r="224" spans="16:44" x14ac:dyDescent="0.2">
      <c r="R224" s="272"/>
      <c r="W224" s="123"/>
      <c r="Z224" s="305"/>
    </row>
    <row r="225" spans="18:23" x14ac:dyDescent="0.2">
      <c r="R225" s="272"/>
      <c r="W225" s="123"/>
    </row>
    <row r="226" spans="18:23" x14ac:dyDescent="0.2">
      <c r="R226" s="272"/>
      <c r="W226" s="123"/>
    </row>
    <row r="227" spans="18:23" x14ac:dyDescent="0.2">
      <c r="R227" s="272"/>
      <c r="W227" s="123"/>
    </row>
    <row r="228" spans="18:23" x14ac:dyDescent="0.2">
      <c r="R228" s="272"/>
      <c r="W228" s="123"/>
    </row>
    <row r="229" spans="18:23" x14ac:dyDescent="0.2">
      <c r="R229" s="272"/>
      <c r="W229" s="123"/>
    </row>
    <row r="230" spans="18:23" x14ac:dyDescent="0.2">
      <c r="R230" s="272"/>
      <c r="W230" s="123"/>
    </row>
    <row r="231" spans="18:23" x14ac:dyDescent="0.2">
      <c r="R231" s="272"/>
      <c r="W231" s="123"/>
    </row>
    <row r="232" spans="18:23" x14ac:dyDescent="0.2">
      <c r="R232" s="272"/>
      <c r="W232" s="123"/>
    </row>
    <row r="233" spans="18:23" x14ac:dyDescent="0.2">
      <c r="R233" s="272"/>
      <c r="W233" s="123"/>
    </row>
    <row r="234" spans="18:23" x14ac:dyDescent="0.2">
      <c r="R234" s="272"/>
      <c r="W234" s="123"/>
    </row>
    <row r="235" spans="18:23" x14ac:dyDescent="0.2">
      <c r="R235" s="272"/>
      <c r="W235" s="123"/>
    </row>
    <row r="236" spans="18:23" x14ac:dyDescent="0.2">
      <c r="R236" s="272"/>
      <c r="W236" s="123"/>
    </row>
    <row r="237" spans="18:23" x14ac:dyDescent="0.2">
      <c r="R237" s="272"/>
      <c r="W237" s="123"/>
    </row>
    <row r="238" spans="18:23" x14ac:dyDescent="0.2">
      <c r="R238" s="272"/>
      <c r="W238" s="123"/>
    </row>
    <row r="239" spans="18:23" x14ac:dyDescent="0.2">
      <c r="R239" s="272"/>
      <c r="W239" s="123"/>
    </row>
    <row r="240" spans="18:23" x14ac:dyDescent="0.2">
      <c r="R240" s="272"/>
      <c r="W240" s="123"/>
    </row>
    <row r="241" spans="18:23" x14ac:dyDescent="0.2">
      <c r="R241" s="272"/>
      <c r="W241" s="123"/>
    </row>
    <row r="242" spans="18:23" x14ac:dyDescent="0.2">
      <c r="R242" s="272"/>
      <c r="W242" s="123"/>
    </row>
    <row r="243" spans="18:23" x14ac:dyDescent="0.2">
      <c r="R243" s="272"/>
      <c r="W243" s="123"/>
    </row>
    <row r="244" spans="18:23" x14ac:dyDescent="0.2">
      <c r="R244" s="272"/>
      <c r="W244" s="123"/>
    </row>
    <row r="245" spans="18:23" x14ac:dyDescent="0.2">
      <c r="R245" s="272"/>
      <c r="W245" s="123"/>
    </row>
    <row r="246" spans="18:23" x14ac:dyDescent="0.2">
      <c r="R246" s="272"/>
      <c r="W246" s="123"/>
    </row>
    <row r="247" spans="18:23" x14ac:dyDescent="0.2">
      <c r="R247" s="272"/>
      <c r="W247" s="123"/>
    </row>
    <row r="248" spans="18:23" x14ac:dyDescent="0.2">
      <c r="R248" s="272"/>
      <c r="W248" s="123"/>
    </row>
    <row r="249" spans="18:23" x14ac:dyDescent="0.2">
      <c r="R249" s="272"/>
      <c r="W249" s="123"/>
    </row>
    <row r="250" spans="18:23" x14ac:dyDescent="0.2">
      <c r="R250" s="272"/>
      <c r="W250" s="123"/>
    </row>
    <row r="251" spans="18:23" x14ac:dyDescent="0.2">
      <c r="R251" s="272"/>
      <c r="W251" s="123"/>
    </row>
    <row r="252" spans="18:23" x14ac:dyDescent="0.2">
      <c r="R252" s="272"/>
      <c r="W252" s="123"/>
    </row>
    <row r="253" spans="18:23" x14ac:dyDescent="0.2">
      <c r="R253" s="272"/>
      <c r="W253" s="123"/>
    </row>
    <row r="254" spans="18:23" x14ac:dyDescent="0.2">
      <c r="R254" s="272"/>
      <c r="W254" s="123"/>
    </row>
    <row r="255" spans="18:23" x14ac:dyDescent="0.2">
      <c r="R255" s="272"/>
      <c r="W255" s="123"/>
    </row>
    <row r="256" spans="18:23" x14ac:dyDescent="0.2">
      <c r="R256" s="272"/>
      <c r="W256" s="123"/>
    </row>
    <row r="257" spans="18:23" x14ac:dyDescent="0.2">
      <c r="R257" s="272"/>
      <c r="W257" s="123"/>
    </row>
    <row r="258" spans="18:23" x14ac:dyDescent="0.2">
      <c r="R258" s="272"/>
      <c r="W258" s="123"/>
    </row>
    <row r="259" spans="18:23" x14ac:dyDescent="0.2">
      <c r="R259" s="272"/>
      <c r="W259" s="123"/>
    </row>
    <row r="260" spans="18:23" x14ac:dyDescent="0.2">
      <c r="R260" s="272"/>
      <c r="W260" s="123"/>
    </row>
    <row r="261" spans="18:23" x14ac:dyDescent="0.2">
      <c r="R261" s="272"/>
      <c r="W261" s="123"/>
    </row>
    <row r="262" spans="18:23" x14ac:dyDescent="0.2">
      <c r="R262" s="272"/>
      <c r="W262" s="123"/>
    </row>
    <row r="263" spans="18:23" x14ac:dyDescent="0.2">
      <c r="R263" s="272"/>
      <c r="W263" s="123"/>
    </row>
    <row r="264" spans="18:23" x14ac:dyDescent="0.2">
      <c r="R264" s="272"/>
      <c r="W264" s="123"/>
    </row>
    <row r="265" spans="18:23" x14ac:dyDescent="0.2">
      <c r="R265" s="272"/>
      <c r="W265" s="123"/>
    </row>
    <row r="266" spans="18:23" x14ac:dyDescent="0.2">
      <c r="R266" s="272"/>
      <c r="W266" s="123"/>
    </row>
    <row r="267" spans="18:23" x14ac:dyDescent="0.2">
      <c r="R267" s="272"/>
      <c r="W267" s="123"/>
    </row>
    <row r="268" spans="18:23" x14ac:dyDescent="0.2">
      <c r="R268" s="272"/>
      <c r="W268" s="123"/>
    </row>
    <row r="269" spans="18:23" x14ac:dyDescent="0.2">
      <c r="R269" s="272"/>
      <c r="W269" s="123"/>
    </row>
    <row r="270" spans="18:23" x14ac:dyDescent="0.2">
      <c r="R270" s="272"/>
      <c r="W270" s="123"/>
    </row>
    <row r="271" spans="18:23" x14ac:dyDescent="0.2">
      <c r="R271" s="272"/>
      <c r="W271" s="123"/>
    </row>
    <row r="272" spans="18:23" x14ac:dyDescent="0.2">
      <c r="R272" s="272"/>
      <c r="W272" s="123"/>
    </row>
    <row r="273" spans="18:23" x14ac:dyDescent="0.2">
      <c r="R273" s="272"/>
      <c r="W273" s="123"/>
    </row>
    <row r="274" spans="18:23" x14ac:dyDescent="0.2">
      <c r="R274" s="272"/>
      <c r="W274" s="123"/>
    </row>
    <row r="275" spans="18:23" x14ac:dyDescent="0.2">
      <c r="R275" s="272"/>
      <c r="W275" s="123"/>
    </row>
    <row r="276" spans="18:23" x14ac:dyDescent="0.2">
      <c r="R276" s="272"/>
      <c r="W276" s="123"/>
    </row>
    <row r="277" spans="18:23" x14ac:dyDescent="0.2">
      <c r="R277" s="272"/>
      <c r="W277" s="123"/>
    </row>
    <row r="278" spans="18:23" x14ac:dyDescent="0.2">
      <c r="R278" s="272"/>
    </row>
    <row r="279" spans="18:23" x14ac:dyDescent="0.2">
      <c r="R279" s="272"/>
    </row>
    <row r="280" spans="18:23" x14ac:dyDescent="0.2">
      <c r="R280" s="272"/>
    </row>
    <row r="281" spans="18:23" x14ac:dyDescent="0.2">
      <c r="R281" s="272"/>
    </row>
    <row r="282" spans="18:23" x14ac:dyDescent="0.2">
      <c r="R282" s="272"/>
    </row>
    <row r="283" spans="18:23" x14ac:dyDescent="0.2">
      <c r="R283" s="272"/>
    </row>
    <row r="284" spans="18:23" x14ac:dyDescent="0.2">
      <c r="R284" s="272"/>
    </row>
    <row r="285" spans="18:23" x14ac:dyDescent="0.2">
      <c r="R285" s="272"/>
    </row>
    <row r="286" spans="18:23" x14ac:dyDescent="0.2">
      <c r="R286" s="272"/>
    </row>
    <row r="287" spans="18:23" x14ac:dyDescent="0.2">
      <c r="R287" s="272"/>
    </row>
    <row r="288" spans="18:23" x14ac:dyDescent="0.2">
      <c r="R288" s="272"/>
    </row>
    <row r="289" spans="18:18" x14ac:dyDescent="0.2">
      <c r="R289" s="272"/>
    </row>
    <row r="290" spans="18:18" x14ac:dyDescent="0.2">
      <c r="R290" s="272"/>
    </row>
    <row r="291" spans="18:18" x14ac:dyDescent="0.2">
      <c r="R291" s="272"/>
    </row>
    <row r="292" spans="18:18" x14ac:dyDescent="0.2">
      <c r="R292" s="272"/>
    </row>
    <row r="293" spans="18:18" x14ac:dyDescent="0.2">
      <c r="R293" s="272"/>
    </row>
    <row r="294" spans="18:18" x14ac:dyDescent="0.2">
      <c r="R294" s="272"/>
    </row>
    <row r="295" spans="18:18" x14ac:dyDescent="0.2">
      <c r="R295" s="272"/>
    </row>
    <row r="296" spans="18:18" x14ac:dyDescent="0.2">
      <c r="R296" s="272"/>
    </row>
    <row r="297" spans="18:18" x14ac:dyDescent="0.2">
      <c r="R297" s="272"/>
    </row>
    <row r="298" spans="18:18" x14ac:dyDescent="0.2">
      <c r="R298" s="272"/>
    </row>
    <row r="299" spans="18:18" x14ac:dyDescent="0.2">
      <c r="R299" s="272"/>
    </row>
    <row r="300" spans="18:18" x14ac:dyDescent="0.2">
      <c r="R300" s="272"/>
    </row>
    <row r="301" spans="18:18" x14ac:dyDescent="0.2">
      <c r="R301" s="272"/>
    </row>
    <row r="302" spans="18:18" x14ac:dyDescent="0.2">
      <c r="R302" s="272"/>
    </row>
    <row r="303" spans="18:18" x14ac:dyDescent="0.2">
      <c r="R303" s="272"/>
    </row>
    <row r="304" spans="18:18" x14ac:dyDescent="0.2">
      <c r="R304" s="272"/>
    </row>
    <row r="305" spans="18:18" x14ac:dyDescent="0.2">
      <c r="R305" s="272"/>
    </row>
    <row r="306" spans="18:18" x14ac:dyDescent="0.2">
      <c r="R306" s="272"/>
    </row>
    <row r="307" spans="18:18" x14ac:dyDescent="0.2">
      <c r="R307" s="272"/>
    </row>
    <row r="308" spans="18:18" x14ac:dyDescent="0.2">
      <c r="R308" s="272"/>
    </row>
    <row r="309" spans="18:18" x14ac:dyDescent="0.2">
      <c r="R309" s="272"/>
    </row>
    <row r="310" spans="18:18" x14ac:dyDescent="0.2">
      <c r="R310" s="272"/>
    </row>
    <row r="311" spans="18:18" x14ac:dyDescent="0.2">
      <c r="R311" s="272"/>
    </row>
    <row r="312" spans="18:18" x14ac:dyDescent="0.2">
      <c r="R312" s="272"/>
    </row>
    <row r="313" spans="18:18" x14ac:dyDescent="0.2">
      <c r="R313" s="272"/>
    </row>
    <row r="314" spans="18:18" x14ac:dyDescent="0.2">
      <c r="R314" s="272"/>
    </row>
    <row r="315" spans="18:18" x14ac:dyDescent="0.2">
      <c r="R315" s="272"/>
    </row>
    <row r="316" spans="18:18" x14ac:dyDescent="0.2">
      <c r="R316" s="272"/>
    </row>
    <row r="317" spans="18:18" x14ac:dyDescent="0.2">
      <c r="R317" s="272"/>
    </row>
    <row r="318" spans="18:18" x14ac:dyDescent="0.2">
      <c r="R318" s="272"/>
    </row>
    <row r="319" spans="18:18" x14ac:dyDescent="0.2">
      <c r="R319" s="272"/>
    </row>
    <row r="320" spans="18:18" x14ac:dyDescent="0.2">
      <c r="R320" s="272"/>
    </row>
    <row r="321" spans="18:18" x14ac:dyDescent="0.2">
      <c r="R321" s="272"/>
    </row>
    <row r="322" spans="18:18" x14ac:dyDescent="0.2">
      <c r="R322" s="272"/>
    </row>
    <row r="323" spans="18:18" x14ac:dyDescent="0.2">
      <c r="R323" s="272"/>
    </row>
    <row r="324" spans="18:18" x14ac:dyDescent="0.2">
      <c r="R324" s="272"/>
    </row>
    <row r="325" spans="18:18" x14ac:dyDescent="0.2">
      <c r="R325" s="272"/>
    </row>
    <row r="326" spans="18:18" x14ac:dyDescent="0.2">
      <c r="R326" s="272"/>
    </row>
    <row r="327" spans="18:18" x14ac:dyDescent="0.2">
      <c r="R327" s="272"/>
    </row>
    <row r="328" spans="18:18" x14ac:dyDescent="0.2">
      <c r="R328" s="272"/>
    </row>
    <row r="329" spans="18:18" x14ac:dyDescent="0.2">
      <c r="R329" s="272"/>
    </row>
    <row r="330" spans="18:18" x14ac:dyDescent="0.2">
      <c r="R330" s="272"/>
    </row>
    <row r="331" spans="18:18" x14ac:dyDescent="0.2">
      <c r="R331" s="272"/>
    </row>
    <row r="332" spans="18:18" x14ac:dyDescent="0.2">
      <c r="R332" s="272"/>
    </row>
    <row r="333" spans="18:18" x14ac:dyDescent="0.2">
      <c r="R333" s="272"/>
    </row>
    <row r="334" spans="18:18" x14ac:dyDescent="0.2">
      <c r="R334" s="272"/>
    </row>
    <row r="335" spans="18:18" x14ac:dyDescent="0.2">
      <c r="R335" s="272"/>
    </row>
    <row r="336" spans="18:18" x14ac:dyDescent="0.2">
      <c r="R336" s="272"/>
    </row>
    <row r="337" spans="18:18" x14ac:dyDescent="0.2">
      <c r="R337" s="272"/>
    </row>
    <row r="338" spans="18:18" x14ac:dyDescent="0.2">
      <c r="R338" s="272"/>
    </row>
    <row r="339" spans="18:18" x14ac:dyDescent="0.2">
      <c r="R339" s="272"/>
    </row>
    <row r="340" spans="18:18" x14ac:dyDescent="0.2">
      <c r="R340" s="272"/>
    </row>
    <row r="341" spans="18:18" x14ac:dyDescent="0.2">
      <c r="R341" s="272"/>
    </row>
    <row r="342" spans="18:18" x14ac:dyDescent="0.2">
      <c r="R342" s="272"/>
    </row>
    <row r="343" spans="18:18" x14ac:dyDescent="0.2">
      <c r="R343" s="272"/>
    </row>
    <row r="344" spans="18:18" x14ac:dyDescent="0.2">
      <c r="R344" s="272"/>
    </row>
    <row r="345" spans="18:18" x14ac:dyDescent="0.2">
      <c r="R345" s="272"/>
    </row>
    <row r="346" spans="18:18" x14ac:dyDescent="0.2">
      <c r="R346" s="272"/>
    </row>
    <row r="347" spans="18:18" x14ac:dyDescent="0.2">
      <c r="R347" s="272"/>
    </row>
    <row r="348" spans="18:18" x14ac:dyDescent="0.2">
      <c r="R348" s="272"/>
    </row>
    <row r="349" spans="18:18" x14ac:dyDescent="0.2">
      <c r="R349" s="272"/>
    </row>
    <row r="350" spans="18:18" x14ac:dyDescent="0.2">
      <c r="R350" s="272"/>
    </row>
    <row r="351" spans="18:18" x14ac:dyDescent="0.2">
      <c r="R351" s="272"/>
    </row>
    <row r="352" spans="18:18" x14ac:dyDescent="0.2">
      <c r="R352" s="272"/>
    </row>
    <row r="353" spans="18:18" x14ac:dyDescent="0.2">
      <c r="R353" s="272"/>
    </row>
    <row r="354" spans="18:18" x14ac:dyDescent="0.2">
      <c r="R354" s="272"/>
    </row>
    <row r="355" spans="18:18" x14ac:dyDescent="0.2">
      <c r="R355" s="272"/>
    </row>
    <row r="356" spans="18:18" x14ac:dyDescent="0.2">
      <c r="R356" s="272"/>
    </row>
    <row r="357" spans="18:18" x14ac:dyDescent="0.2">
      <c r="R357" s="272"/>
    </row>
    <row r="358" spans="18:18" x14ac:dyDescent="0.2">
      <c r="R358" s="272"/>
    </row>
    <row r="359" spans="18:18" x14ac:dyDescent="0.2">
      <c r="R359" s="272"/>
    </row>
    <row r="360" spans="18:18" x14ac:dyDescent="0.2">
      <c r="R360" s="272"/>
    </row>
    <row r="361" spans="18:18" x14ac:dyDescent="0.2">
      <c r="R361" s="272"/>
    </row>
    <row r="362" spans="18:18" x14ac:dyDescent="0.2">
      <c r="R362" s="272"/>
    </row>
    <row r="363" spans="18:18" x14ac:dyDescent="0.2">
      <c r="R363" s="272"/>
    </row>
    <row r="364" spans="18:18" x14ac:dyDescent="0.2">
      <c r="R364" s="272"/>
    </row>
    <row r="365" spans="18:18" x14ac:dyDescent="0.2">
      <c r="R365" s="272"/>
    </row>
    <row r="366" spans="18:18" x14ac:dyDescent="0.2">
      <c r="R366" s="272"/>
    </row>
    <row r="367" spans="18:18" x14ac:dyDescent="0.2">
      <c r="R367" s="272"/>
    </row>
    <row r="368" spans="18:18" x14ac:dyDescent="0.2">
      <c r="R368" s="272"/>
    </row>
    <row r="369" spans="18:18" x14ac:dyDescent="0.2">
      <c r="R369" s="272"/>
    </row>
    <row r="370" spans="18:18" x14ac:dyDescent="0.2">
      <c r="R370" s="272"/>
    </row>
    <row r="371" spans="18:18" x14ac:dyDescent="0.2">
      <c r="R371" s="272"/>
    </row>
    <row r="372" spans="18:18" x14ac:dyDescent="0.2">
      <c r="R372" s="272"/>
    </row>
    <row r="373" spans="18:18" x14ac:dyDescent="0.2">
      <c r="R373" s="272"/>
    </row>
    <row r="374" spans="18:18" x14ac:dyDescent="0.2">
      <c r="R374" s="272"/>
    </row>
    <row r="375" spans="18:18" x14ac:dyDescent="0.2">
      <c r="R375" s="272"/>
    </row>
    <row r="376" spans="18:18" x14ac:dyDescent="0.2">
      <c r="R376" s="272"/>
    </row>
    <row r="377" spans="18:18" x14ac:dyDescent="0.2">
      <c r="R377" s="272"/>
    </row>
    <row r="378" spans="18:18" x14ac:dyDescent="0.2">
      <c r="R378" s="272"/>
    </row>
    <row r="379" spans="18:18" x14ac:dyDescent="0.2">
      <c r="R379" s="272"/>
    </row>
    <row r="380" spans="18:18" x14ac:dyDescent="0.2">
      <c r="R380" s="272"/>
    </row>
    <row r="381" spans="18:18" x14ac:dyDescent="0.2">
      <c r="R381" s="272"/>
    </row>
    <row r="382" spans="18:18" x14ac:dyDescent="0.2">
      <c r="R382" s="272"/>
    </row>
    <row r="383" spans="18:18" x14ac:dyDescent="0.2">
      <c r="R383" s="272"/>
    </row>
    <row r="384" spans="18:18" x14ac:dyDescent="0.2">
      <c r="R384" s="272"/>
    </row>
    <row r="385" spans="18:18" x14ac:dyDescent="0.2">
      <c r="R385" s="272"/>
    </row>
    <row r="386" spans="18:18" x14ac:dyDescent="0.2">
      <c r="R386" s="272"/>
    </row>
    <row r="387" spans="18:18" x14ac:dyDescent="0.2">
      <c r="R387" s="272"/>
    </row>
    <row r="388" spans="18:18" x14ac:dyDescent="0.2">
      <c r="R388" s="272"/>
    </row>
    <row r="389" spans="18:18" x14ac:dyDescent="0.2">
      <c r="R389" s="272"/>
    </row>
    <row r="390" spans="18:18" x14ac:dyDescent="0.2">
      <c r="R390" s="272"/>
    </row>
    <row r="391" spans="18:18" x14ac:dyDescent="0.2">
      <c r="R391" s="272"/>
    </row>
    <row r="392" spans="18:18" x14ac:dyDescent="0.2">
      <c r="R392" s="272"/>
    </row>
    <row r="393" spans="18:18" x14ac:dyDescent="0.2">
      <c r="R393" s="272"/>
    </row>
    <row r="394" spans="18:18" x14ac:dyDescent="0.2">
      <c r="R394" s="272"/>
    </row>
    <row r="395" spans="18:18" x14ac:dyDescent="0.2">
      <c r="R395" s="272"/>
    </row>
    <row r="396" spans="18:18" x14ac:dyDescent="0.2">
      <c r="R396" s="272"/>
    </row>
    <row r="397" spans="18:18" x14ac:dyDescent="0.2">
      <c r="R397" s="272"/>
    </row>
    <row r="398" spans="18:18" x14ac:dyDescent="0.2">
      <c r="R398" s="272"/>
    </row>
    <row r="399" spans="18:18" x14ac:dyDescent="0.2">
      <c r="R399" s="272"/>
    </row>
    <row r="400" spans="18:18" x14ac:dyDescent="0.2">
      <c r="R400" s="272"/>
    </row>
    <row r="401" spans="18:18" x14ac:dyDescent="0.2">
      <c r="R401" s="272"/>
    </row>
    <row r="402" spans="18:18" x14ac:dyDescent="0.2">
      <c r="R402" s="272"/>
    </row>
    <row r="403" spans="18:18" x14ac:dyDescent="0.2">
      <c r="R403" s="272"/>
    </row>
    <row r="404" spans="18:18" x14ac:dyDescent="0.2">
      <c r="R404" s="272"/>
    </row>
    <row r="405" spans="18:18" x14ac:dyDescent="0.2">
      <c r="R405" s="272"/>
    </row>
    <row r="406" spans="18:18" x14ac:dyDescent="0.2">
      <c r="R406" s="272"/>
    </row>
    <row r="407" spans="18:18" x14ac:dyDescent="0.2">
      <c r="R407" s="272"/>
    </row>
    <row r="408" spans="18:18" x14ac:dyDescent="0.2">
      <c r="R408" s="272"/>
    </row>
    <row r="409" spans="18:18" x14ac:dyDescent="0.2">
      <c r="R409" s="272"/>
    </row>
    <row r="410" spans="18:18" x14ac:dyDescent="0.2">
      <c r="R410" s="272"/>
    </row>
    <row r="411" spans="18:18" x14ac:dyDescent="0.2">
      <c r="R411" s="272"/>
    </row>
    <row r="412" spans="18:18" x14ac:dyDescent="0.2">
      <c r="R412" s="272"/>
    </row>
    <row r="413" spans="18:18" x14ac:dyDescent="0.2">
      <c r="R413" s="272"/>
    </row>
    <row r="414" spans="18:18" x14ac:dyDescent="0.2">
      <c r="R414" s="272"/>
    </row>
    <row r="415" spans="18:18" x14ac:dyDescent="0.2">
      <c r="R415" s="272"/>
    </row>
    <row r="416" spans="18:18" x14ac:dyDescent="0.2">
      <c r="R416" s="272"/>
    </row>
    <row r="417" spans="18:18" x14ac:dyDescent="0.2">
      <c r="R417" s="272"/>
    </row>
    <row r="418" spans="18:18" x14ac:dyDescent="0.2">
      <c r="R418" s="272"/>
    </row>
    <row r="419" spans="18:18" x14ac:dyDescent="0.2">
      <c r="R419" s="272"/>
    </row>
    <row r="420" spans="18:18" x14ac:dyDescent="0.2">
      <c r="R420" s="272"/>
    </row>
    <row r="421" spans="18:18" x14ac:dyDescent="0.2">
      <c r="R421" s="272"/>
    </row>
    <row r="422" spans="18:18" x14ac:dyDescent="0.2">
      <c r="R422" s="272"/>
    </row>
    <row r="423" spans="18:18" x14ac:dyDescent="0.2">
      <c r="R423" s="272"/>
    </row>
    <row r="424" spans="18:18" x14ac:dyDescent="0.2">
      <c r="R424" s="272"/>
    </row>
    <row r="425" spans="18:18" x14ac:dyDescent="0.2">
      <c r="R425" s="272"/>
    </row>
    <row r="426" spans="18:18" x14ac:dyDescent="0.2">
      <c r="R426" s="272"/>
    </row>
    <row r="427" spans="18:18" x14ac:dyDescent="0.2">
      <c r="R427" s="272"/>
    </row>
    <row r="428" spans="18:18" x14ac:dyDescent="0.2">
      <c r="R428" s="272"/>
    </row>
    <row r="429" spans="18:18" x14ac:dyDescent="0.2">
      <c r="R429" s="272"/>
    </row>
    <row r="430" spans="18:18" x14ac:dyDescent="0.2">
      <c r="R430" s="272"/>
    </row>
    <row r="431" spans="18:18" x14ac:dyDescent="0.2">
      <c r="R431" s="272"/>
    </row>
    <row r="432" spans="18:18" x14ac:dyDescent="0.2">
      <c r="R432" s="272"/>
    </row>
    <row r="433" spans="18:18" x14ac:dyDescent="0.2">
      <c r="R433" s="272"/>
    </row>
    <row r="434" spans="18:18" x14ac:dyDescent="0.2">
      <c r="R434" s="272"/>
    </row>
    <row r="435" spans="18:18" x14ac:dyDescent="0.2">
      <c r="R435" s="272"/>
    </row>
    <row r="436" spans="18:18" x14ac:dyDescent="0.2">
      <c r="R436" s="272"/>
    </row>
    <row r="437" spans="18:18" x14ac:dyDescent="0.2">
      <c r="R437" s="272"/>
    </row>
    <row r="438" spans="18:18" x14ac:dyDescent="0.2">
      <c r="R438" s="272"/>
    </row>
    <row r="439" spans="18:18" x14ac:dyDescent="0.2">
      <c r="R439" s="272"/>
    </row>
    <row r="440" spans="18:18" x14ac:dyDescent="0.2">
      <c r="R440" s="272"/>
    </row>
    <row r="441" spans="18:18" x14ac:dyDescent="0.2">
      <c r="R441" s="272"/>
    </row>
    <row r="442" spans="18:18" x14ac:dyDescent="0.2">
      <c r="R442" s="272"/>
    </row>
    <row r="443" spans="18:18" x14ac:dyDescent="0.2">
      <c r="R443" s="272"/>
    </row>
    <row r="444" spans="18:18" x14ac:dyDescent="0.2">
      <c r="R444" s="272"/>
    </row>
    <row r="445" spans="18:18" x14ac:dyDescent="0.2">
      <c r="R445" s="272"/>
    </row>
    <row r="446" spans="18:18" x14ac:dyDescent="0.2">
      <c r="R446" s="272"/>
    </row>
    <row r="447" spans="18:18" x14ac:dyDescent="0.2">
      <c r="R447" s="272"/>
    </row>
    <row r="448" spans="18:18" x14ac:dyDescent="0.2">
      <c r="R448" s="272"/>
    </row>
    <row r="449" spans="18:18" x14ac:dyDescent="0.2">
      <c r="R449" s="272"/>
    </row>
    <row r="450" spans="18:18" x14ac:dyDescent="0.2">
      <c r="R450" s="272"/>
    </row>
    <row r="451" spans="18:18" x14ac:dyDescent="0.2">
      <c r="R451" s="272"/>
    </row>
    <row r="452" spans="18:18" x14ac:dyDescent="0.2">
      <c r="R452" s="272"/>
    </row>
    <row r="453" spans="18:18" x14ac:dyDescent="0.2">
      <c r="R453" s="272"/>
    </row>
    <row r="454" spans="18:18" x14ac:dyDescent="0.2">
      <c r="R454" s="272"/>
    </row>
    <row r="455" spans="18:18" x14ac:dyDescent="0.2">
      <c r="R455" s="272"/>
    </row>
    <row r="456" spans="18:18" x14ac:dyDescent="0.2">
      <c r="R456" s="272"/>
    </row>
    <row r="457" spans="18:18" x14ac:dyDescent="0.2">
      <c r="R457" s="272"/>
    </row>
    <row r="458" spans="18:18" x14ac:dyDescent="0.2">
      <c r="R458" s="272"/>
    </row>
    <row r="459" spans="18:18" x14ac:dyDescent="0.2">
      <c r="R459" s="272"/>
    </row>
    <row r="460" spans="18:18" x14ac:dyDescent="0.2">
      <c r="R460" s="272"/>
    </row>
    <row r="461" spans="18:18" x14ac:dyDescent="0.2">
      <c r="R461" s="272"/>
    </row>
    <row r="462" spans="18:18" x14ac:dyDescent="0.2">
      <c r="R462" s="272"/>
    </row>
    <row r="463" spans="18:18" x14ac:dyDescent="0.2">
      <c r="R463" s="272"/>
    </row>
    <row r="464" spans="18:18" x14ac:dyDescent="0.2">
      <c r="R464" s="272"/>
    </row>
    <row r="465" spans="18:18" x14ac:dyDescent="0.2">
      <c r="R465" s="272"/>
    </row>
    <row r="466" spans="18:18" x14ac:dyDescent="0.2">
      <c r="R466" s="272"/>
    </row>
    <row r="467" spans="18:18" x14ac:dyDescent="0.2">
      <c r="R467" s="272"/>
    </row>
    <row r="468" spans="18:18" x14ac:dyDescent="0.2">
      <c r="R468" s="272"/>
    </row>
    <row r="469" spans="18:18" x14ac:dyDescent="0.2">
      <c r="R469" s="272"/>
    </row>
    <row r="470" spans="18:18" x14ac:dyDescent="0.2">
      <c r="R470" s="272"/>
    </row>
    <row r="471" spans="18:18" x14ac:dyDescent="0.2">
      <c r="R471" s="272"/>
    </row>
    <row r="472" spans="18:18" x14ac:dyDescent="0.2">
      <c r="R472" s="272"/>
    </row>
    <row r="473" spans="18:18" x14ac:dyDescent="0.2">
      <c r="R473" s="272"/>
    </row>
    <row r="474" spans="18:18" x14ac:dyDescent="0.2">
      <c r="R474" s="272"/>
    </row>
    <row r="475" spans="18:18" x14ac:dyDescent="0.2">
      <c r="R475" s="272"/>
    </row>
    <row r="476" spans="18:18" x14ac:dyDescent="0.2">
      <c r="R476" s="272"/>
    </row>
    <row r="477" spans="18:18" x14ac:dyDescent="0.2">
      <c r="R477" s="272"/>
    </row>
    <row r="478" spans="18:18" x14ac:dyDescent="0.2">
      <c r="R478" s="272"/>
    </row>
    <row r="479" spans="18:18" x14ac:dyDescent="0.2">
      <c r="R479" s="272"/>
    </row>
    <row r="480" spans="18:18" x14ac:dyDescent="0.2">
      <c r="R480" s="272"/>
    </row>
    <row r="481" spans="18:18" x14ac:dyDescent="0.2">
      <c r="R481" s="272"/>
    </row>
    <row r="482" spans="18:18" x14ac:dyDescent="0.2">
      <c r="R482" s="272"/>
    </row>
    <row r="483" spans="18:18" x14ac:dyDescent="0.2">
      <c r="R483" s="272"/>
    </row>
    <row r="484" spans="18:18" x14ac:dyDescent="0.2">
      <c r="R484" s="272"/>
    </row>
    <row r="485" spans="18:18" x14ac:dyDescent="0.2">
      <c r="R485" s="272"/>
    </row>
    <row r="486" spans="18:18" x14ac:dyDescent="0.2">
      <c r="R486" s="272"/>
    </row>
    <row r="487" spans="18:18" x14ac:dyDescent="0.2">
      <c r="R487" s="272"/>
    </row>
    <row r="488" spans="18:18" x14ac:dyDescent="0.2">
      <c r="R488" s="272"/>
    </row>
    <row r="489" spans="18:18" x14ac:dyDescent="0.2">
      <c r="R489" s="272"/>
    </row>
    <row r="490" spans="18:18" x14ac:dyDescent="0.2">
      <c r="R490" s="272"/>
    </row>
    <row r="491" spans="18:18" x14ac:dyDescent="0.2">
      <c r="R491" s="272"/>
    </row>
    <row r="492" spans="18:18" x14ac:dyDescent="0.2">
      <c r="R492" s="272"/>
    </row>
    <row r="493" spans="18:18" x14ac:dyDescent="0.2">
      <c r="R493" s="272"/>
    </row>
    <row r="494" spans="18:18" x14ac:dyDescent="0.2">
      <c r="R494" s="272"/>
    </row>
    <row r="495" spans="18:18" x14ac:dyDescent="0.2">
      <c r="R495" s="272"/>
    </row>
    <row r="496" spans="18:18" x14ac:dyDescent="0.2">
      <c r="R496" s="272"/>
    </row>
    <row r="497" spans="18:18" x14ac:dyDescent="0.2">
      <c r="R497" s="272"/>
    </row>
    <row r="498" spans="18:18" x14ac:dyDescent="0.2">
      <c r="R498" s="272"/>
    </row>
    <row r="499" spans="18:18" x14ac:dyDescent="0.2">
      <c r="R499" s="272"/>
    </row>
    <row r="500" spans="18:18" x14ac:dyDescent="0.2">
      <c r="R500" s="272"/>
    </row>
    <row r="501" spans="18:18" x14ac:dyDescent="0.2">
      <c r="R501" s="272"/>
    </row>
    <row r="502" spans="18:18" x14ac:dyDescent="0.2">
      <c r="R502" s="272"/>
    </row>
  </sheetData>
  <sortState xmlns:xlrd2="http://schemas.microsoft.com/office/spreadsheetml/2017/richdata2" ref="A4:AR172">
    <sortCondition ref="A4:A172"/>
  </sortState>
  <mergeCells count="1">
    <mergeCell ref="D206:G206"/>
  </mergeCells>
  <phoneticPr fontId="28" type="noConversion"/>
  <conditionalFormatting sqref="A104:C104 B103:C103 A102:A104 A1:C101 B106:C132 B134:C157 A117:A157 A159:B159 A161:B161 A163:B163 A165:B165 A167:B167 C158:C170 A169:B170 A171:C206">
    <cfRule type="containsText" dxfId="49" priority="61" operator="containsText" text="CDM6044">
      <formula>NOT(ISERROR(SEARCH("CDM6044",A1)))</formula>
    </cfRule>
    <cfRule type="containsText" dxfId="48" priority="62" operator="containsText" text="CDM6043">
      <formula>NOT(ISERROR(SEARCH("CDM6043",A1)))</formula>
    </cfRule>
    <cfRule type="containsText" dxfId="47" priority="63" operator="containsText" text="CDM6043">
      <formula>NOT(ISERROR(SEARCH("CDM6043",A1)))</formula>
    </cfRule>
    <cfRule type="containsText" dxfId="46" priority="64" operator="containsText" text="CDM6043">
      <formula>NOT(ISERROR(SEARCH("CDM6043",A1)))</formula>
    </cfRule>
    <cfRule type="containsText" dxfId="45" priority="65" operator="containsText" text="CDM6042">
      <formula>NOT(ISERROR(SEARCH("CDM6042",A1)))</formula>
    </cfRule>
  </conditionalFormatting>
  <conditionalFormatting sqref="D69">
    <cfRule type="containsText" dxfId="44" priority="46" operator="containsText" text="CDM6044">
      <formula>NOT(ISERROR(SEARCH("CDM6044",D69)))</formula>
    </cfRule>
    <cfRule type="containsText" dxfId="43" priority="47" operator="containsText" text="CDM6043">
      <formula>NOT(ISERROR(SEARCH("CDM6043",D69)))</formula>
    </cfRule>
    <cfRule type="containsText" dxfId="42" priority="48" operator="containsText" text="CDM6043">
      <formula>NOT(ISERROR(SEARCH("CDM6043",D69)))</formula>
    </cfRule>
    <cfRule type="containsText" dxfId="41" priority="49" operator="containsText" text="CDM6043">
      <formula>NOT(ISERROR(SEARCH("CDM6043",D69)))</formula>
    </cfRule>
    <cfRule type="containsText" dxfId="40" priority="50" operator="containsText" text="CDM6042">
      <formula>NOT(ISERROR(SEARCH("CDM6042",D69)))</formula>
    </cfRule>
  </conditionalFormatting>
  <conditionalFormatting sqref="B102:C102">
    <cfRule type="containsText" dxfId="39" priority="26" operator="containsText" text="CDM6044">
      <formula>NOT(ISERROR(SEARCH("CDM6044",B102)))</formula>
    </cfRule>
    <cfRule type="containsText" dxfId="38" priority="27" operator="containsText" text="CDM6043">
      <formula>NOT(ISERROR(SEARCH("CDM6043",B102)))</formula>
    </cfRule>
    <cfRule type="containsText" dxfId="37" priority="28" operator="containsText" text="CDM6043">
      <formula>NOT(ISERROR(SEARCH("CDM6043",B102)))</formula>
    </cfRule>
    <cfRule type="containsText" dxfId="36" priority="29" operator="containsText" text="CDM6043">
      <formula>NOT(ISERROR(SEARCH("CDM6043",B102)))</formula>
    </cfRule>
    <cfRule type="containsText" dxfId="35" priority="30" operator="containsText" text="CDM6042">
      <formula>NOT(ISERROR(SEARCH("CDM6042",B102)))</formula>
    </cfRule>
  </conditionalFormatting>
  <conditionalFormatting sqref="A105:C105 A108 A110 A112 A114 A116">
    <cfRule type="containsText" dxfId="34" priority="21" operator="containsText" text="CDM6044">
      <formula>NOT(ISERROR(SEARCH("CDM6044",A105)))</formula>
    </cfRule>
    <cfRule type="containsText" dxfId="33" priority="22" operator="containsText" text="CDM6043">
      <formula>NOT(ISERROR(SEARCH("CDM6043",A105)))</formula>
    </cfRule>
    <cfRule type="containsText" dxfId="32" priority="23" operator="containsText" text="CDM6043">
      <formula>NOT(ISERROR(SEARCH("CDM6043",A105)))</formula>
    </cfRule>
    <cfRule type="containsText" dxfId="31" priority="24" operator="containsText" text="CDM6043">
      <formula>NOT(ISERROR(SEARCH("CDM6043",A105)))</formula>
    </cfRule>
    <cfRule type="containsText" dxfId="30" priority="25" operator="containsText" text="CDM6042">
      <formula>NOT(ISERROR(SEARCH("CDM6042",A105)))</formula>
    </cfRule>
  </conditionalFormatting>
  <conditionalFormatting sqref="A106:A107 A109 A111 A113 A115">
    <cfRule type="containsText" dxfId="29" priority="16" operator="containsText" text="CDM6044">
      <formula>NOT(ISERROR(SEARCH("CDM6044",A106)))</formula>
    </cfRule>
    <cfRule type="containsText" dxfId="28" priority="17" operator="containsText" text="CDM6043">
      <formula>NOT(ISERROR(SEARCH("CDM6043",A106)))</formula>
    </cfRule>
    <cfRule type="containsText" dxfId="27" priority="18" operator="containsText" text="CDM6043">
      <formula>NOT(ISERROR(SEARCH("CDM6043",A106)))</formula>
    </cfRule>
    <cfRule type="containsText" dxfId="26" priority="19" operator="containsText" text="CDM6043">
      <formula>NOT(ISERROR(SEARCH("CDM6043",A106)))</formula>
    </cfRule>
    <cfRule type="containsText" dxfId="25" priority="20" operator="containsText" text="CDM6042">
      <formula>NOT(ISERROR(SEARCH("CDM6042",A106)))</formula>
    </cfRule>
  </conditionalFormatting>
  <conditionalFormatting sqref="B133:C133">
    <cfRule type="containsText" dxfId="24" priority="11" operator="containsText" text="CDM6044">
      <formula>NOT(ISERROR(SEARCH("CDM6044",B133)))</formula>
    </cfRule>
    <cfRule type="containsText" dxfId="23" priority="12" operator="containsText" text="CDM6043">
      <formula>NOT(ISERROR(SEARCH("CDM6043",B133)))</formula>
    </cfRule>
    <cfRule type="containsText" dxfId="22" priority="13" operator="containsText" text="CDM6043">
      <formula>NOT(ISERROR(SEARCH("CDM6043",B133)))</formula>
    </cfRule>
    <cfRule type="containsText" dxfId="21" priority="14" operator="containsText" text="CDM6043">
      <formula>NOT(ISERROR(SEARCH("CDM6043",B133)))</formula>
    </cfRule>
    <cfRule type="containsText" dxfId="20" priority="15" operator="containsText" text="CDM6042">
      <formula>NOT(ISERROR(SEARCH("CDM6042",B133)))</formula>
    </cfRule>
  </conditionalFormatting>
  <conditionalFormatting sqref="A158:B158 A160:B160 A162:B162 A164:B164 A166:B166 A168:B168">
    <cfRule type="containsText" dxfId="19" priority="1" operator="containsText" text="CDM6044">
      <formula>NOT(ISERROR(SEARCH("CDM6044",A158)))</formula>
    </cfRule>
    <cfRule type="containsText" dxfId="18" priority="2" operator="containsText" text="CDM6043">
      <formula>NOT(ISERROR(SEARCH("CDM6043",A158)))</formula>
    </cfRule>
    <cfRule type="containsText" dxfId="17" priority="3" operator="containsText" text="CDM6043">
      <formula>NOT(ISERROR(SEARCH("CDM6043",A158)))</formula>
    </cfRule>
    <cfRule type="containsText" dxfId="16" priority="4" operator="containsText" text="CDM6043">
      <formula>NOT(ISERROR(SEARCH("CDM6043",A158)))</formula>
    </cfRule>
    <cfRule type="containsText" dxfId="15" priority="5" operator="containsText" text="CDM6042">
      <formula>NOT(ISERROR(SEARCH("CDM6042",A158)))</formula>
    </cfRule>
  </conditionalFormatting>
  <hyperlinks>
    <hyperlink ref="D206" r:id="rId1" display="unfccc.int/cooperation_support/nama/items/6945.php" xr:uid="{00000000-0004-0000-0000-000000000000}"/>
    <hyperlink ref="AQ17" r:id="rId2" xr:uid="{00000000-0004-0000-0000-000001000000}"/>
    <hyperlink ref="AQ25" r:id="rId3" xr:uid="{00000000-0004-0000-0000-000002000000}"/>
    <hyperlink ref="AQ26" r:id="rId4" xr:uid="{00000000-0004-0000-0000-000003000000}"/>
    <hyperlink ref="AQ27" r:id="rId5" xr:uid="{00000000-0004-0000-0000-000004000000}"/>
    <hyperlink ref="AQ28" r:id="rId6" xr:uid="{00000000-0004-0000-0000-000005000000}"/>
    <hyperlink ref="AQ52" r:id="rId7" xr:uid="{00000000-0004-0000-0000-000006000000}"/>
    <hyperlink ref="AQ77" r:id="rId8" xr:uid="{00000000-0004-0000-0000-000007000000}"/>
    <hyperlink ref="AQ15" r:id="rId9" xr:uid="{00000000-0004-0000-0000-000008000000}"/>
  </hyperlinks>
  <pageMargins left="0.74803149606299213" right="0.74803149606299213" top="0.74803149606299213" bottom="0.74803149606299213" header="0.15748031496062992" footer="0.15748031496062992"/>
  <pageSetup paperSize="9" scale="11" fitToHeight="0" orientation="landscape"/>
  <headerFooter alignWithMargins="0"/>
  <ignoredErrors>
    <ignoredError sqref="AC205 AC207:AC262 AC184:AC187 AC180:AC181" formulaRange="1"/>
    <ignoredError sqref="X201" formula="1"/>
  </ignoredErrors>
  <legacyDrawing r:id="rId1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W96"/>
  <sheetViews>
    <sheetView zoomScale="85" zoomScaleNormal="85" workbookViewId="0">
      <pane xSplit="4" ySplit="3" topLeftCell="E19" activePane="bottomRight" state="frozen"/>
      <selection pane="topRight" activeCell="F1" sqref="F1"/>
      <selection pane="bottomLeft" activeCell="A4" sqref="A4"/>
      <selection pane="bottomRight"/>
    </sheetView>
  </sheetViews>
  <sheetFormatPr defaultRowHeight="12.75" x14ac:dyDescent="0.2"/>
  <cols>
    <col min="1" max="1" width="12.85546875" customWidth="1"/>
    <col min="2" max="2" width="11.5703125" style="71" customWidth="1"/>
    <col min="3" max="3" width="59.140625" customWidth="1"/>
    <col min="4" max="4" width="23.28515625" customWidth="1"/>
    <col min="5" max="5" width="49.5703125" customWidth="1"/>
    <col min="6" max="7" width="47.140625" style="71" customWidth="1"/>
    <col min="8" max="8" width="26.28515625" customWidth="1"/>
    <col min="9" max="9" width="28.85546875" customWidth="1"/>
    <col min="10" max="10" width="21" customWidth="1"/>
    <col min="11" max="11" width="13.42578125" customWidth="1"/>
    <col min="12" max="12" width="9.7109375" customWidth="1"/>
    <col min="13" max="13" width="13.140625" customWidth="1"/>
    <col min="14" max="14" width="15.5703125" customWidth="1"/>
    <col min="15" max="15" width="13" customWidth="1"/>
    <col min="16" max="16" width="17" customWidth="1"/>
    <col min="17" max="17" width="9.7109375" customWidth="1"/>
    <col min="18" max="18" width="9.85546875" customWidth="1"/>
    <col min="19" max="19" width="10.42578125" customWidth="1"/>
    <col min="20" max="20" width="10.5703125" customWidth="1"/>
    <col min="21" max="21" width="26.28515625" customWidth="1"/>
    <col min="22" max="22" width="25.140625" customWidth="1"/>
    <col min="23" max="23" width="61.85546875" customWidth="1"/>
    <col min="25" max="25" width="24.42578125" customWidth="1"/>
  </cols>
  <sheetData>
    <row r="1" spans="1:23" ht="18" customHeight="1" x14ac:dyDescent="0.2">
      <c r="A1" s="57" t="str">
        <f>+Submissions!A1</f>
        <v>The NAMApipeline was produced by Jørgen Fenhann, UNEP Copenhagen Climate Centre, 1.October 2022, jorgen.fenhann@un.org, Phone (+45)40202789</v>
      </c>
      <c r="B1" s="127"/>
      <c r="C1" s="2"/>
      <c r="D1" s="51"/>
      <c r="E1" s="3"/>
      <c r="F1" s="5"/>
      <c r="G1" s="5"/>
      <c r="H1" s="3"/>
      <c r="I1" s="4"/>
      <c r="J1" s="66"/>
      <c r="K1" s="66"/>
      <c r="L1" s="66"/>
      <c r="M1" s="7"/>
      <c r="N1" s="3"/>
      <c r="O1" s="3"/>
      <c r="P1" s="3"/>
      <c r="Q1" s="66"/>
      <c r="R1" s="8"/>
      <c r="S1" s="8"/>
      <c r="T1" s="8"/>
      <c r="U1" s="6"/>
      <c r="V1" s="6"/>
      <c r="W1" s="7"/>
    </row>
    <row r="2" spans="1:23" ht="18" customHeight="1" x14ac:dyDescent="0.2">
      <c r="A2" s="10"/>
      <c r="B2" s="128"/>
      <c r="C2" s="11"/>
      <c r="D2" s="52"/>
      <c r="E2" s="5"/>
      <c r="F2" s="5"/>
      <c r="G2" s="5"/>
      <c r="H2" s="5"/>
      <c r="I2" s="5"/>
      <c r="J2" s="66"/>
      <c r="K2" s="66"/>
      <c r="L2" s="66"/>
      <c r="M2" s="7"/>
      <c r="N2" s="5"/>
      <c r="O2" s="5"/>
      <c r="P2" s="5"/>
      <c r="Q2" s="66"/>
      <c r="R2" s="8"/>
      <c r="S2" s="8"/>
      <c r="T2" s="8"/>
      <c r="U2" s="6"/>
      <c r="V2" s="6"/>
      <c r="W2" s="7"/>
    </row>
    <row r="3" spans="1:23" ht="68.25" customHeight="1" x14ac:dyDescent="0.2">
      <c r="A3" s="12" t="s">
        <v>0</v>
      </c>
      <c r="B3" s="12" t="s">
        <v>598</v>
      </c>
      <c r="C3" s="13" t="s">
        <v>1</v>
      </c>
      <c r="D3" s="44" t="s">
        <v>706</v>
      </c>
      <c r="E3" s="15" t="s">
        <v>308</v>
      </c>
      <c r="F3" s="15" t="s">
        <v>10</v>
      </c>
      <c r="G3" s="15" t="s">
        <v>692</v>
      </c>
      <c r="H3" s="15" t="s">
        <v>13</v>
      </c>
      <c r="I3" s="14" t="s">
        <v>4</v>
      </c>
      <c r="J3" s="47" t="s">
        <v>310</v>
      </c>
      <c r="K3" s="47" t="s">
        <v>591</v>
      </c>
      <c r="L3" s="47" t="s">
        <v>592</v>
      </c>
      <c r="M3" s="46" t="s">
        <v>270</v>
      </c>
      <c r="N3" s="61" t="s">
        <v>693</v>
      </c>
      <c r="O3" s="61" t="s">
        <v>793</v>
      </c>
      <c r="P3" s="61" t="s">
        <v>694</v>
      </c>
      <c r="Q3" s="47" t="s">
        <v>583</v>
      </c>
      <c r="R3" s="17" t="s">
        <v>593</v>
      </c>
      <c r="S3" s="47" t="s">
        <v>594</v>
      </c>
      <c r="T3" s="47" t="s">
        <v>595</v>
      </c>
      <c r="U3" s="61" t="s">
        <v>596</v>
      </c>
      <c r="V3" s="61" t="s">
        <v>597</v>
      </c>
      <c r="W3" s="125" t="s">
        <v>11</v>
      </c>
    </row>
    <row r="4" spans="1:23" ht="39.75" customHeight="1" x14ac:dyDescent="0.2">
      <c r="A4" s="21" t="s">
        <v>588</v>
      </c>
      <c r="B4" s="43" t="s">
        <v>660</v>
      </c>
      <c r="C4" s="56" t="s">
        <v>580</v>
      </c>
      <c r="D4" s="90" t="s">
        <v>578</v>
      </c>
      <c r="E4" s="22" t="s">
        <v>700</v>
      </c>
      <c r="F4" s="28" t="s">
        <v>579</v>
      </c>
      <c r="G4" s="28" t="s">
        <v>16</v>
      </c>
      <c r="H4" s="22" t="s">
        <v>16</v>
      </c>
      <c r="I4" s="22" t="s">
        <v>16</v>
      </c>
      <c r="J4" s="45" t="s">
        <v>16</v>
      </c>
      <c r="K4" s="67"/>
      <c r="L4" s="82"/>
      <c r="M4" s="27">
        <v>41492</v>
      </c>
      <c r="N4" s="91" t="s">
        <v>669</v>
      </c>
      <c r="O4" s="91"/>
      <c r="P4" s="91" t="s">
        <v>701</v>
      </c>
      <c r="Q4" s="148"/>
      <c r="R4" s="25"/>
      <c r="S4" s="25"/>
      <c r="T4" s="72"/>
      <c r="U4" s="62"/>
      <c r="V4" s="62"/>
      <c r="W4" s="147" t="s">
        <v>587</v>
      </c>
    </row>
    <row r="5" spans="1:23" ht="34.5" customHeight="1" x14ac:dyDescent="0.2">
      <c r="A5" s="21" t="s">
        <v>589</v>
      </c>
      <c r="B5" s="22" t="s">
        <v>661</v>
      </c>
      <c r="C5" s="56" t="s">
        <v>581</v>
      </c>
      <c r="D5" s="90" t="s">
        <v>578</v>
      </c>
      <c r="E5" s="22" t="s">
        <v>582</v>
      </c>
      <c r="F5" s="28" t="s">
        <v>584</v>
      </c>
      <c r="G5" s="28" t="s">
        <v>16</v>
      </c>
      <c r="H5" s="22" t="s">
        <v>16</v>
      </c>
      <c r="I5" s="22" t="s">
        <v>16</v>
      </c>
      <c r="J5" s="45" t="s">
        <v>16</v>
      </c>
      <c r="K5" s="67"/>
      <c r="L5" s="82"/>
      <c r="M5" s="27">
        <v>41492</v>
      </c>
      <c r="N5" s="91" t="s">
        <v>669</v>
      </c>
      <c r="O5" s="91"/>
      <c r="P5" s="91" t="s">
        <v>702</v>
      </c>
      <c r="Q5" s="148"/>
      <c r="R5" s="25"/>
      <c r="S5" s="25"/>
      <c r="T5" s="72"/>
      <c r="U5" s="62"/>
      <c r="V5" s="62"/>
      <c r="W5" s="146" t="s">
        <v>586</v>
      </c>
    </row>
    <row r="6" spans="1:23" ht="79.5" customHeight="1" x14ac:dyDescent="0.2">
      <c r="A6" s="21" t="s">
        <v>658</v>
      </c>
      <c r="B6" s="22" t="s">
        <v>662</v>
      </c>
      <c r="C6" s="56" t="s">
        <v>664</v>
      </c>
      <c r="D6" s="90" t="s">
        <v>1356</v>
      </c>
      <c r="E6" s="22" t="s">
        <v>666</v>
      </c>
      <c r="F6" s="28" t="s">
        <v>1426</v>
      </c>
      <c r="G6" s="28" t="s">
        <v>16</v>
      </c>
      <c r="H6" s="22" t="s">
        <v>16</v>
      </c>
      <c r="I6" s="22" t="s">
        <v>16</v>
      </c>
      <c r="J6" s="45" t="s">
        <v>16</v>
      </c>
      <c r="K6" s="67">
        <v>41456</v>
      </c>
      <c r="L6" s="82"/>
      <c r="M6" s="27" t="s">
        <v>2027</v>
      </c>
      <c r="N6" s="91" t="s">
        <v>670</v>
      </c>
      <c r="O6" s="218" t="s">
        <v>1774</v>
      </c>
      <c r="P6" s="91" t="s">
        <v>701</v>
      </c>
      <c r="Q6" s="357">
        <f>R6</f>
        <v>145.04945042857145</v>
      </c>
      <c r="R6" s="357">
        <f>14/0.84+18.5+14.7/0.84+0.120879+7/0.84+14/0.84+3/0.84+9/0.84+13/0.84+13.5/0.84+9/0.84+9/0.84</f>
        <v>145.04945042857145</v>
      </c>
      <c r="S6" s="25"/>
      <c r="T6" s="72"/>
      <c r="U6" s="62"/>
      <c r="V6" s="62"/>
      <c r="W6" s="131" t="s">
        <v>691</v>
      </c>
    </row>
    <row r="7" spans="1:23" ht="55.5" customHeight="1" x14ac:dyDescent="0.2">
      <c r="A7" s="21" t="s">
        <v>659</v>
      </c>
      <c r="B7" s="22" t="s">
        <v>663</v>
      </c>
      <c r="C7" s="56" t="s">
        <v>686</v>
      </c>
      <c r="D7" s="90" t="s">
        <v>665</v>
      </c>
      <c r="E7" s="22" t="s">
        <v>668</v>
      </c>
      <c r="F7" s="28" t="s">
        <v>667</v>
      </c>
      <c r="G7" s="28" t="s">
        <v>16</v>
      </c>
      <c r="H7" s="22" t="s">
        <v>16</v>
      </c>
      <c r="I7" s="22" t="s">
        <v>16</v>
      </c>
      <c r="J7" s="45" t="s">
        <v>16</v>
      </c>
      <c r="K7" s="67"/>
      <c r="L7" s="82"/>
      <c r="M7" s="27">
        <v>41506</v>
      </c>
      <c r="N7" s="91" t="s">
        <v>703</v>
      </c>
      <c r="O7" s="218" t="s">
        <v>2100</v>
      </c>
      <c r="P7" s="91" t="s">
        <v>704</v>
      </c>
      <c r="Q7" s="357">
        <f>R7</f>
        <v>15.029911</v>
      </c>
      <c r="R7" s="25">
        <f>0.1+3.5+5.93+3.6+0.1095+1.790411</f>
        <v>15.029911</v>
      </c>
      <c r="S7" s="25"/>
      <c r="T7" s="72"/>
      <c r="U7" s="62"/>
      <c r="V7" s="62"/>
      <c r="W7" s="131" t="s">
        <v>690</v>
      </c>
    </row>
    <row r="8" spans="1:23" ht="51" customHeight="1" x14ac:dyDescent="0.2">
      <c r="A8" s="21" t="s">
        <v>683</v>
      </c>
      <c r="B8" s="22" t="s">
        <v>720</v>
      </c>
      <c r="C8" s="56" t="s">
        <v>714</v>
      </c>
      <c r="D8" s="90" t="s">
        <v>712</v>
      </c>
      <c r="E8" s="22" t="s">
        <v>717</v>
      </c>
      <c r="F8" s="28" t="s">
        <v>707</v>
      </c>
      <c r="G8" s="28" t="s">
        <v>715</v>
      </c>
      <c r="H8" s="22" t="s">
        <v>709</v>
      </c>
      <c r="I8" s="22"/>
      <c r="J8" s="45"/>
      <c r="K8" s="67"/>
      <c r="L8" s="82"/>
      <c r="M8" s="27">
        <v>41584</v>
      </c>
      <c r="N8" s="91" t="s">
        <v>670</v>
      </c>
      <c r="O8" s="91"/>
      <c r="P8" s="91" t="s">
        <v>702</v>
      </c>
      <c r="Q8" s="148"/>
      <c r="R8" s="25"/>
      <c r="S8" s="25"/>
      <c r="T8" s="72"/>
      <c r="U8" s="62"/>
      <c r="V8" s="62"/>
      <c r="W8" s="131" t="s">
        <v>716</v>
      </c>
    </row>
    <row r="9" spans="1:23" ht="69" customHeight="1" x14ac:dyDescent="0.2">
      <c r="A9" s="21" t="s">
        <v>684</v>
      </c>
      <c r="B9" s="22" t="s">
        <v>718</v>
      </c>
      <c r="C9" s="56" t="s">
        <v>688</v>
      </c>
      <c r="D9" s="90" t="s">
        <v>698</v>
      </c>
      <c r="E9" s="22" t="s">
        <v>689</v>
      </c>
      <c r="F9" s="28" t="s">
        <v>687</v>
      </c>
      <c r="G9" s="28" t="s">
        <v>696</v>
      </c>
      <c r="H9" s="22" t="s">
        <v>709</v>
      </c>
      <c r="I9" s="22"/>
      <c r="J9" s="45"/>
      <c r="K9" s="67"/>
      <c r="L9" s="82"/>
      <c r="M9" s="27">
        <v>41583</v>
      </c>
      <c r="N9" s="91" t="s">
        <v>670</v>
      </c>
      <c r="O9" s="91"/>
      <c r="P9" s="91" t="s">
        <v>695</v>
      </c>
      <c r="Q9" s="148"/>
      <c r="R9" s="25"/>
      <c r="S9" s="25"/>
      <c r="T9" s="72"/>
      <c r="U9" s="62"/>
      <c r="V9" s="62" t="s">
        <v>697</v>
      </c>
      <c r="W9" s="146" t="s">
        <v>699</v>
      </c>
    </row>
    <row r="10" spans="1:23" ht="51" customHeight="1" x14ac:dyDescent="0.2">
      <c r="A10" s="21" t="s">
        <v>685</v>
      </c>
      <c r="B10" s="22" t="s">
        <v>719</v>
      </c>
      <c r="C10" s="56" t="s">
        <v>705</v>
      </c>
      <c r="D10" s="90" t="s">
        <v>712</v>
      </c>
      <c r="E10" s="22" t="s">
        <v>713</v>
      </c>
      <c r="F10" s="28" t="s">
        <v>707</v>
      </c>
      <c r="G10" s="28" t="s">
        <v>708</v>
      </c>
      <c r="H10" s="22" t="s">
        <v>710</v>
      </c>
      <c r="I10" s="22"/>
      <c r="J10" s="45"/>
      <c r="K10" s="67"/>
      <c r="L10" s="82"/>
      <c r="M10" s="27">
        <v>41584</v>
      </c>
      <c r="N10" s="91" t="s">
        <v>669</v>
      </c>
      <c r="O10" s="91"/>
      <c r="P10" s="91" t="s">
        <v>695</v>
      </c>
      <c r="Q10" s="148"/>
      <c r="R10" s="25"/>
      <c r="S10" s="25"/>
      <c r="T10" s="72"/>
      <c r="U10" s="62"/>
      <c r="V10" s="62"/>
      <c r="W10" s="131" t="s">
        <v>711</v>
      </c>
    </row>
    <row r="11" spans="1:23" ht="61.5" customHeight="1" x14ac:dyDescent="0.2">
      <c r="A11" s="21" t="s">
        <v>732</v>
      </c>
      <c r="B11" s="22" t="s">
        <v>734</v>
      </c>
      <c r="C11" s="56" t="s">
        <v>735</v>
      </c>
      <c r="D11" s="90" t="s">
        <v>733</v>
      </c>
      <c r="E11" s="22" t="s">
        <v>740</v>
      </c>
      <c r="F11" s="28" t="s">
        <v>736</v>
      </c>
      <c r="G11" s="28" t="s">
        <v>738</v>
      </c>
      <c r="H11" s="22" t="s">
        <v>737</v>
      </c>
      <c r="I11" s="22"/>
      <c r="J11" s="45"/>
      <c r="K11" s="67"/>
      <c r="L11" s="82"/>
      <c r="M11" s="27">
        <v>41711</v>
      </c>
      <c r="N11" s="91" t="s">
        <v>703</v>
      </c>
      <c r="O11" s="218" t="s">
        <v>1760</v>
      </c>
      <c r="P11" s="91" t="s">
        <v>739</v>
      </c>
      <c r="Q11" s="198">
        <f>R11</f>
        <v>1</v>
      </c>
      <c r="R11" s="25">
        <v>1</v>
      </c>
      <c r="S11" s="25"/>
      <c r="T11" s="72"/>
      <c r="U11" s="62"/>
      <c r="V11" s="62" t="s">
        <v>741</v>
      </c>
      <c r="W11" s="131"/>
    </row>
    <row r="12" spans="1:23" ht="28.5" customHeight="1" x14ac:dyDescent="0.2">
      <c r="A12" s="21" t="s">
        <v>792</v>
      </c>
      <c r="B12" s="22" t="s">
        <v>788</v>
      </c>
      <c r="C12" s="56" t="s">
        <v>789</v>
      </c>
      <c r="D12" s="90" t="s">
        <v>733</v>
      </c>
      <c r="E12" s="22" t="s">
        <v>791</v>
      </c>
      <c r="F12" s="28" t="s">
        <v>736</v>
      </c>
      <c r="G12" s="28" t="s">
        <v>62</v>
      </c>
      <c r="H12" s="22" t="s">
        <v>749</v>
      </c>
      <c r="I12" s="22" t="s">
        <v>790</v>
      </c>
      <c r="J12" s="22" t="s">
        <v>790</v>
      </c>
      <c r="K12" s="67"/>
      <c r="L12" s="82"/>
      <c r="M12" s="27">
        <v>41774</v>
      </c>
      <c r="N12" s="91" t="s">
        <v>670</v>
      </c>
      <c r="O12" s="218" t="s">
        <v>745</v>
      </c>
      <c r="P12" s="91" t="s">
        <v>704</v>
      </c>
      <c r="Q12" s="198">
        <f>R12</f>
        <v>1.9404920000000001</v>
      </c>
      <c r="R12" s="72">
        <v>1.9404920000000001</v>
      </c>
      <c r="S12" s="25"/>
      <c r="T12" s="72"/>
      <c r="U12" s="62"/>
      <c r="V12" s="62"/>
      <c r="W12" s="131"/>
    </row>
    <row r="13" spans="1:23" ht="51.75" customHeight="1" x14ac:dyDescent="0.2">
      <c r="A13" s="21" t="s">
        <v>813</v>
      </c>
      <c r="B13" s="22" t="s">
        <v>863</v>
      </c>
      <c r="C13" s="56" t="s">
        <v>818</v>
      </c>
      <c r="D13" s="90" t="s">
        <v>819</v>
      </c>
      <c r="E13" s="22" t="s">
        <v>822</v>
      </c>
      <c r="F13" s="28" t="s">
        <v>820</v>
      </c>
      <c r="G13" s="28" t="s">
        <v>16</v>
      </c>
      <c r="H13" s="22" t="s">
        <v>16</v>
      </c>
      <c r="I13" s="22" t="s">
        <v>16</v>
      </c>
      <c r="J13" s="91" t="s">
        <v>16</v>
      </c>
      <c r="K13" s="67"/>
      <c r="L13" s="82"/>
      <c r="M13" s="27">
        <v>41829</v>
      </c>
      <c r="N13" s="91" t="s">
        <v>669</v>
      </c>
      <c r="O13" s="218" t="s">
        <v>994</v>
      </c>
      <c r="P13" s="91" t="s">
        <v>821</v>
      </c>
      <c r="Q13" s="198">
        <f>R13</f>
        <v>0.96</v>
      </c>
      <c r="R13" s="72">
        <v>0.96</v>
      </c>
      <c r="S13" s="25"/>
      <c r="T13" s="72"/>
      <c r="U13" s="62"/>
      <c r="V13" s="62"/>
      <c r="W13" s="131" t="s">
        <v>823</v>
      </c>
    </row>
    <row r="14" spans="1:23" ht="51.75" customHeight="1" x14ac:dyDescent="0.2">
      <c r="A14" s="21" t="s">
        <v>889</v>
      </c>
      <c r="B14" s="22" t="s">
        <v>890</v>
      </c>
      <c r="C14" s="56" t="s">
        <v>888</v>
      </c>
      <c r="D14" s="90" t="s">
        <v>891</v>
      </c>
      <c r="E14" s="22" t="s">
        <v>894</v>
      </c>
      <c r="F14" s="28" t="s">
        <v>892</v>
      </c>
      <c r="G14" s="28" t="s">
        <v>16</v>
      </c>
      <c r="H14" s="22" t="s">
        <v>16</v>
      </c>
      <c r="I14" s="22" t="s">
        <v>16</v>
      </c>
      <c r="J14" s="91" t="s">
        <v>16</v>
      </c>
      <c r="K14" s="67"/>
      <c r="L14" s="82"/>
      <c r="M14" s="27">
        <v>41938</v>
      </c>
      <c r="N14" s="91" t="s">
        <v>669</v>
      </c>
      <c r="O14" s="218" t="s">
        <v>600</v>
      </c>
      <c r="P14" s="91" t="s">
        <v>893</v>
      </c>
      <c r="Q14" s="198"/>
      <c r="R14" s="72"/>
      <c r="S14" s="25"/>
      <c r="T14" s="72"/>
      <c r="U14" s="62"/>
      <c r="V14" s="62"/>
      <c r="W14" s="131"/>
    </row>
    <row r="15" spans="1:23" ht="51.75" customHeight="1" x14ac:dyDescent="0.2">
      <c r="A15" s="21" t="s">
        <v>1513</v>
      </c>
      <c r="B15" s="22" t="s">
        <v>896</v>
      </c>
      <c r="C15" s="56" t="s">
        <v>895</v>
      </c>
      <c r="D15" s="90"/>
      <c r="E15" s="22" t="s">
        <v>898</v>
      </c>
      <c r="F15" s="28" t="s">
        <v>897</v>
      </c>
      <c r="G15" s="28" t="s">
        <v>899</v>
      </c>
      <c r="H15" s="22" t="s">
        <v>16</v>
      </c>
      <c r="I15" s="22" t="s">
        <v>16</v>
      </c>
      <c r="J15" s="91" t="s">
        <v>16</v>
      </c>
      <c r="K15" s="67"/>
      <c r="L15" s="82"/>
      <c r="M15" s="27">
        <v>41938</v>
      </c>
      <c r="N15" s="91" t="s">
        <v>669</v>
      </c>
      <c r="O15" s="218" t="s">
        <v>1102</v>
      </c>
      <c r="P15" s="91" t="s">
        <v>900</v>
      </c>
      <c r="Q15" s="198"/>
      <c r="R15" s="72"/>
      <c r="S15" s="25"/>
      <c r="T15" s="72"/>
      <c r="U15" s="62"/>
      <c r="V15" s="62"/>
      <c r="W15" s="131"/>
    </row>
    <row r="16" spans="1:23" ht="51.75" customHeight="1" x14ac:dyDescent="0.2">
      <c r="A16" s="21" t="s">
        <v>950</v>
      </c>
      <c r="B16" s="22" t="s">
        <v>949</v>
      </c>
      <c r="C16" s="56" t="s">
        <v>948</v>
      </c>
      <c r="D16" s="90"/>
      <c r="E16" s="22" t="s">
        <v>954</v>
      </c>
      <c r="F16" s="28" t="s">
        <v>952</v>
      </c>
      <c r="G16" s="28" t="s">
        <v>953</v>
      </c>
      <c r="H16" s="22" t="s">
        <v>16</v>
      </c>
      <c r="I16" s="22" t="s">
        <v>16</v>
      </c>
      <c r="J16" s="91" t="s">
        <v>16</v>
      </c>
      <c r="K16" s="67"/>
      <c r="L16" s="82"/>
      <c r="M16" s="27">
        <v>41943</v>
      </c>
      <c r="N16" s="91" t="s">
        <v>669</v>
      </c>
      <c r="O16" s="91"/>
      <c r="P16" s="91" t="s">
        <v>959</v>
      </c>
      <c r="Q16" s="198"/>
      <c r="R16" s="72"/>
      <c r="S16" s="25"/>
      <c r="T16" s="72"/>
      <c r="U16" s="62"/>
      <c r="V16" s="62"/>
      <c r="W16" s="131"/>
    </row>
    <row r="17" spans="1:23" ht="51.75" customHeight="1" x14ac:dyDescent="0.2">
      <c r="A17" s="21" t="s">
        <v>951</v>
      </c>
      <c r="B17" s="22" t="s">
        <v>956</v>
      </c>
      <c r="C17" s="56" t="s">
        <v>955</v>
      </c>
      <c r="D17" s="90" t="s">
        <v>1391</v>
      </c>
      <c r="E17" s="22" t="s">
        <v>957</v>
      </c>
      <c r="F17" s="28" t="s">
        <v>958</v>
      </c>
      <c r="G17" s="28" t="s">
        <v>16</v>
      </c>
      <c r="H17" s="22" t="s">
        <v>963</v>
      </c>
      <c r="I17" s="22" t="s">
        <v>963</v>
      </c>
      <c r="J17" s="22" t="s">
        <v>963</v>
      </c>
      <c r="K17" s="67"/>
      <c r="L17" s="82"/>
      <c r="M17" s="27">
        <v>41943</v>
      </c>
      <c r="N17" s="91" t="s">
        <v>961</v>
      </c>
      <c r="O17" s="91"/>
      <c r="P17" s="91" t="s">
        <v>960</v>
      </c>
      <c r="Q17" s="198"/>
      <c r="R17" s="72"/>
      <c r="S17" s="25"/>
      <c r="T17" s="72"/>
      <c r="U17" s="62"/>
      <c r="V17" s="62"/>
      <c r="W17" s="131" t="s">
        <v>962</v>
      </c>
    </row>
    <row r="18" spans="1:23" ht="51.75" customHeight="1" x14ac:dyDescent="0.2">
      <c r="A18" s="21" t="s">
        <v>1348</v>
      </c>
      <c r="B18" s="22" t="s">
        <v>1349</v>
      </c>
      <c r="C18" s="56" t="s">
        <v>1350</v>
      </c>
      <c r="D18" s="90" t="s">
        <v>1355</v>
      </c>
      <c r="E18" s="22" t="s">
        <v>1354</v>
      </c>
      <c r="F18" s="28" t="s">
        <v>1350</v>
      </c>
      <c r="G18" s="28" t="s">
        <v>1351</v>
      </c>
      <c r="H18" s="22" t="s">
        <v>1140</v>
      </c>
      <c r="I18" s="22" t="s">
        <v>1140</v>
      </c>
      <c r="J18" s="91" t="s">
        <v>1352</v>
      </c>
      <c r="K18" s="67"/>
      <c r="L18" s="82"/>
      <c r="M18" s="27">
        <v>42130</v>
      </c>
      <c r="N18" s="91" t="s">
        <v>669</v>
      </c>
      <c r="O18" s="218" t="s">
        <v>1763</v>
      </c>
      <c r="P18" s="91" t="s">
        <v>959</v>
      </c>
      <c r="Q18" s="198">
        <f>R18</f>
        <v>0.28100000000000003</v>
      </c>
      <c r="R18" s="72">
        <f>0.07+0.06+0.07+0.081</f>
        <v>0.28100000000000003</v>
      </c>
      <c r="S18" s="25"/>
      <c r="T18" s="72"/>
      <c r="U18" s="62"/>
      <c r="V18" s="62"/>
      <c r="W18" s="315" t="s">
        <v>1353</v>
      </c>
    </row>
    <row r="19" spans="1:23" ht="51.75" customHeight="1" x14ac:dyDescent="0.2">
      <c r="A19" s="21" t="s">
        <v>1388</v>
      </c>
      <c r="B19" s="22" t="s">
        <v>1389</v>
      </c>
      <c r="C19" s="56" t="s">
        <v>1390</v>
      </c>
      <c r="D19" s="90" t="s">
        <v>1391</v>
      </c>
      <c r="E19" s="22"/>
      <c r="F19" s="28" t="s">
        <v>958</v>
      </c>
      <c r="G19" s="28" t="s">
        <v>16</v>
      </c>
      <c r="H19" s="22" t="s">
        <v>963</v>
      </c>
      <c r="I19" s="22" t="s">
        <v>963</v>
      </c>
      <c r="J19" s="22" t="s">
        <v>963</v>
      </c>
      <c r="K19" s="67"/>
      <c r="L19" s="82"/>
      <c r="M19" s="27">
        <v>42180</v>
      </c>
      <c r="N19" s="91" t="s">
        <v>1392</v>
      </c>
      <c r="O19" s="91"/>
      <c r="P19" s="91" t="s">
        <v>960</v>
      </c>
      <c r="Q19" s="198"/>
      <c r="R19" s="72"/>
      <c r="S19" s="25"/>
      <c r="T19" s="72"/>
      <c r="U19" s="62"/>
      <c r="V19" s="62"/>
      <c r="W19" s="315"/>
    </row>
    <row r="20" spans="1:23" ht="51.75" customHeight="1" x14ac:dyDescent="0.2">
      <c r="A20" s="21" t="s">
        <v>1496</v>
      </c>
      <c r="B20" s="22" t="s">
        <v>1497</v>
      </c>
      <c r="C20" s="56" t="s">
        <v>1498</v>
      </c>
      <c r="D20" s="90" t="s">
        <v>1500</v>
      </c>
      <c r="E20" s="22" t="s">
        <v>1501</v>
      </c>
      <c r="F20" s="28" t="s">
        <v>1499</v>
      </c>
      <c r="G20" s="28" t="s">
        <v>16</v>
      </c>
      <c r="H20" s="22" t="s">
        <v>16</v>
      </c>
      <c r="I20" s="22" t="s">
        <v>16</v>
      </c>
      <c r="J20" s="91" t="s">
        <v>16</v>
      </c>
      <c r="K20" s="67"/>
      <c r="L20" s="82"/>
      <c r="M20" s="27">
        <v>42261</v>
      </c>
      <c r="N20" s="91" t="s">
        <v>1503</v>
      </c>
      <c r="O20" s="91"/>
      <c r="P20" s="91" t="s">
        <v>960</v>
      </c>
      <c r="Q20" s="198"/>
      <c r="R20" s="72"/>
      <c r="S20" s="25"/>
      <c r="T20" s="72"/>
      <c r="U20" s="62"/>
      <c r="V20" s="62"/>
      <c r="W20" s="315" t="s">
        <v>1502</v>
      </c>
    </row>
    <row r="21" spans="1:23" ht="75.75" customHeight="1" x14ac:dyDescent="0.2">
      <c r="A21" s="21" t="s">
        <v>1506</v>
      </c>
      <c r="B21" s="22" t="s">
        <v>1507</v>
      </c>
      <c r="C21" s="56" t="s">
        <v>1508</v>
      </c>
      <c r="D21" s="90" t="s">
        <v>1509</v>
      </c>
      <c r="E21" s="22" t="s">
        <v>1512</v>
      </c>
      <c r="F21" s="28" t="s">
        <v>1510</v>
      </c>
      <c r="G21" s="28" t="s">
        <v>1511</v>
      </c>
      <c r="H21" s="22" t="s">
        <v>16</v>
      </c>
      <c r="I21" s="22" t="s">
        <v>16</v>
      </c>
      <c r="J21" s="91" t="s">
        <v>16</v>
      </c>
      <c r="K21" s="67"/>
      <c r="L21" s="82"/>
      <c r="M21" s="27">
        <v>42269</v>
      </c>
      <c r="N21" s="91" t="s">
        <v>669</v>
      </c>
      <c r="O21" s="91"/>
      <c r="P21" s="91" t="s">
        <v>959</v>
      </c>
      <c r="Q21" s="198"/>
      <c r="R21" s="72"/>
      <c r="S21" s="25"/>
      <c r="T21" s="72"/>
      <c r="U21" s="62"/>
      <c r="V21" s="62"/>
      <c r="W21" s="315"/>
    </row>
    <row r="22" spans="1:23" ht="79.5" customHeight="1" x14ac:dyDescent="0.2">
      <c r="A22" s="21" t="s">
        <v>2411</v>
      </c>
      <c r="B22" s="22" t="s">
        <v>2410</v>
      </c>
      <c r="C22" s="56" t="s">
        <v>664</v>
      </c>
      <c r="D22" s="90" t="s">
        <v>1356</v>
      </c>
      <c r="E22" s="22" t="s">
        <v>2449</v>
      </c>
      <c r="F22" s="28" t="s">
        <v>1426</v>
      </c>
      <c r="G22" s="28" t="s">
        <v>16</v>
      </c>
      <c r="H22" s="22" t="s">
        <v>16</v>
      </c>
      <c r="I22" s="22" t="s">
        <v>16</v>
      </c>
      <c r="J22" s="45" t="s">
        <v>16</v>
      </c>
      <c r="K22" s="67">
        <v>41456</v>
      </c>
      <c r="L22" s="82"/>
      <c r="M22" s="27"/>
      <c r="N22" s="91" t="s">
        <v>670</v>
      </c>
      <c r="O22" s="218" t="s">
        <v>1774</v>
      </c>
      <c r="P22" s="91" t="s">
        <v>701</v>
      </c>
      <c r="Q22" s="357">
        <f>R22</f>
        <v>585.7600000000001</v>
      </c>
      <c r="R22" s="357">
        <f>523*1.12</f>
        <v>585.7600000000001</v>
      </c>
      <c r="S22" s="25"/>
      <c r="T22" s="72"/>
      <c r="U22" s="62"/>
      <c r="V22" s="62"/>
      <c r="W22" s="131"/>
    </row>
    <row r="23" spans="1:23" ht="17.25" customHeight="1" x14ac:dyDescent="0.3">
      <c r="A23" s="49"/>
      <c r="B23" s="129"/>
      <c r="C23" s="55"/>
      <c r="D23" s="29"/>
      <c r="E23" s="32"/>
      <c r="F23" s="70"/>
      <c r="G23" s="70"/>
      <c r="H23" s="32"/>
      <c r="I23" s="32"/>
      <c r="J23" s="48"/>
      <c r="K23" s="68"/>
      <c r="L23" s="83"/>
      <c r="M23" s="34"/>
      <c r="N23" s="48"/>
      <c r="O23" s="48"/>
      <c r="P23" s="48"/>
      <c r="Q23" s="121"/>
      <c r="R23" s="35"/>
      <c r="S23" s="35"/>
      <c r="T23" s="35"/>
      <c r="U23" s="60"/>
      <c r="V23" s="124"/>
      <c r="W23" s="316"/>
    </row>
    <row r="24" spans="1:23" ht="24" customHeight="1" x14ac:dyDescent="0.2">
      <c r="A24" s="1"/>
      <c r="B24" s="130"/>
      <c r="C24" s="536" t="s">
        <v>590</v>
      </c>
      <c r="D24" s="536"/>
      <c r="E24" s="1"/>
      <c r="F24" s="5"/>
      <c r="G24" s="5"/>
      <c r="H24" s="1"/>
      <c r="I24" s="1"/>
      <c r="J24" s="66"/>
      <c r="K24" s="66"/>
      <c r="L24" s="84"/>
      <c r="M24" s="7"/>
      <c r="N24" s="1"/>
      <c r="O24" s="1"/>
      <c r="P24" s="1"/>
      <c r="Q24" s="84">
        <f>SUM(Q4:Q23)</f>
        <v>750.02085342857163</v>
      </c>
      <c r="R24" s="84">
        <f>SUM(R4:R23)</f>
        <v>750.02085342857163</v>
      </c>
      <c r="S24" s="8"/>
      <c r="T24" s="8"/>
      <c r="U24" s="6"/>
      <c r="V24" s="6"/>
    </row>
    <row r="25" spans="1:23" x14ac:dyDescent="0.2">
      <c r="A25" s="1"/>
      <c r="B25" s="130"/>
      <c r="C25" s="1"/>
      <c r="D25" s="52"/>
      <c r="E25" s="1"/>
      <c r="F25" s="5"/>
      <c r="G25" s="5"/>
      <c r="H25" s="1"/>
      <c r="I25" s="1"/>
      <c r="J25" s="66"/>
      <c r="K25" s="66"/>
      <c r="L25" s="84"/>
      <c r="M25" s="7"/>
      <c r="N25" s="1"/>
      <c r="O25" s="1"/>
      <c r="P25" s="1"/>
      <c r="Q25" s="122"/>
      <c r="R25" s="8"/>
      <c r="S25" s="8"/>
      <c r="T25" s="8"/>
      <c r="U25" s="6"/>
      <c r="V25" s="6"/>
      <c r="W25" s="7"/>
    </row>
    <row r="26" spans="1:23" x14ac:dyDescent="0.2">
      <c r="L26" s="85"/>
      <c r="Q26" s="123"/>
    </row>
    <row r="27" spans="1:23" x14ac:dyDescent="0.2">
      <c r="L27" s="85"/>
      <c r="Q27" s="123"/>
    </row>
    <row r="28" spans="1:23" x14ac:dyDescent="0.2">
      <c r="L28" s="85"/>
      <c r="Q28" s="123"/>
    </row>
    <row r="29" spans="1:23" x14ac:dyDescent="0.2">
      <c r="L29" s="85"/>
      <c r="Q29" s="123"/>
    </row>
    <row r="30" spans="1:23" x14ac:dyDescent="0.2">
      <c r="L30" s="85"/>
      <c r="Q30" s="123"/>
    </row>
    <row r="31" spans="1:23" x14ac:dyDescent="0.2">
      <c r="L31" s="85"/>
      <c r="Q31" s="123"/>
    </row>
    <row r="32" spans="1:23" x14ac:dyDescent="0.2">
      <c r="L32" s="85"/>
      <c r="Q32" s="123"/>
    </row>
    <row r="33" spans="12:17" x14ac:dyDescent="0.2">
      <c r="L33" s="85"/>
      <c r="Q33" s="123"/>
    </row>
    <row r="34" spans="12:17" x14ac:dyDescent="0.2">
      <c r="L34" s="85"/>
      <c r="Q34" s="123"/>
    </row>
    <row r="35" spans="12:17" x14ac:dyDescent="0.2">
      <c r="L35" s="85"/>
      <c r="Q35" s="123"/>
    </row>
    <row r="36" spans="12:17" x14ac:dyDescent="0.2">
      <c r="L36" s="85"/>
      <c r="Q36" s="123"/>
    </row>
    <row r="37" spans="12:17" x14ac:dyDescent="0.2">
      <c r="L37" s="85"/>
      <c r="Q37" s="123"/>
    </row>
    <row r="38" spans="12:17" x14ac:dyDescent="0.2">
      <c r="L38" s="85"/>
      <c r="Q38" s="123"/>
    </row>
    <row r="39" spans="12:17" x14ac:dyDescent="0.2">
      <c r="Q39" s="123"/>
    </row>
    <row r="40" spans="12:17" x14ac:dyDescent="0.2">
      <c r="Q40" s="123"/>
    </row>
    <row r="41" spans="12:17" x14ac:dyDescent="0.2">
      <c r="Q41" s="123"/>
    </row>
    <row r="42" spans="12:17" x14ac:dyDescent="0.2">
      <c r="Q42" s="123"/>
    </row>
    <row r="43" spans="12:17" x14ac:dyDescent="0.2">
      <c r="Q43" s="123"/>
    </row>
    <row r="44" spans="12:17" x14ac:dyDescent="0.2">
      <c r="Q44" s="123"/>
    </row>
    <row r="45" spans="12:17" x14ac:dyDescent="0.2">
      <c r="Q45" s="123"/>
    </row>
    <row r="46" spans="12:17" x14ac:dyDescent="0.2">
      <c r="Q46" s="123"/>
    </row>
    <row r="47" spans="12:17" x14ac:dyDescent="0.2">
      <c r="Q47" s="123"/>
    </row>
    <row r="48" spans="12:17" x14ac:dyDescent="0.2">
      <c r="Q48" s="123"/>
    </row>
    <row r="49" spans="17:17" x14ac:dyDescent="0.2">
      <c r="Q49" s="123"/>
    </row>
    <row r="50" spans="17:17" x14ac:dyDescent="0.2">
      <c r="Q50" s="123"/>
    </row>
    <row r="51" spans="17:17" x14ac:dyDescent="0.2">
      <c r="Q51" s="123"/>
    </row>
    <row r="52" spans="17:17" x14ac:dyDescent="0.2">
      <c r="Q52" s="123"/>
    </row>
    <row r="53" spans="17:17" x14ac:dyDescent="0.2">
      <c r="Q53" s="123"/>
    </row>
    <row r="54" spans="17:17" x14ac:dyDescent="0.2">
      <c r="Q54" s="123"/>
    </row>
    <row r="55" spans="17:17" x14ac:dyDescent="0.2">
      <c r="Q55" s="123"/>
    </row>
    <row r="56" spans="17:17" x14ac:dyDescent="0.2">
      <c r="Q56" s="123"/>
    </row>
    <row r="57" spans="17:17" x14ac:dyDescent="0.2">
      <c r="Q57" s="123"/>
    </row>
    <row r="58" spans="17:17" x14ac:dyDescent="0.2">
      <c r="Q58" s="123"/>
    </row>
    <row r="59" spans="17:17" x14ac:dyDescent="0.2">
      <c r="Q59" s="123"/>
    </row>
    <row r="60" spans="17:17" x14ac:dyDescent="0.2">
      <c r="Q60" s="123"/>
    </row>
    <row r="61" spans="17:17" x14ac:dyDescent="0.2">
      <c r="Q61" s="123"/>
    </row>
    <row r="62" spans="17:17" x14ac:dyDescent="0.2">
      <c r="Q62" s="123"/>
    </row>
    <row r="63" spans="17:17" x14ac:dyDescent="0.2">
      <c r="Q63" s="123"/>
    </row>
    <row r="64" spans="17:17" x14ac:dyDescent="0.2">
      <c r="Q64" s="123"/>
    </row>
    <row r="65" spans="17:17" x14ac:dyDescent="0.2">
      <c r="Q65" s="123"/>
    </row>
    <row r="66" spans="17:17" x14ac:dyDescent="0.2">
      <c r="Q66" s="123"/>
    </row>
    <row r="67" spans="17:17" x14ac:dyDescent="0.2">
      <c r="Q67" s="123"/>
    </row>
    <row r="68" spans="17:17" x14ac:dyDescent="0.2">
      <c r="Q68" s="123"/>
    </row>
    <row r="69" spans="17:17" x14ac:dyDescent="0.2">
      <c r="Q69" s="123"/>
    </row>
    <row r="70" spans="17:17" x14ac:dyDescent="0.2">
      <c r="Q70" s="123"/>
    </row>
    <row r="71" spans="17:17" x14ac:dyDescent="0.2">
      <c r="Q71" s="123"/>
    </row>
    <row r="72" spans="17:17" x14ac:dyDescent="0.2">
      <c r="Q72" s="123"/>
    </row>
    <row r="73" spans="17:17" x14ac:dyDescent="0.2">
      <c r="Q73" s="123"/>
    </row>
    <row r="74" spans="17:17" x14ac:dyDescent="0.2">
      <c r="Q74" s="123"/>
    </row>
    <row r="75" spans="17:17" x14ac:dyDescent="0.2">
      <c r="Q75" s="123"/>
    </row>
    <row r="76" spans="17:17" x14ac:dyDescent="0.2">
      <c r="Q76" s="123"/>
    </row>
    <row r="77" spans="17:17" x14ac:dyDescent="0.2">
      <c r="Q77" s="123"/>
    </row>
    <row r="78" spans="17:17" x14ac:dyDescent="0.2">
      <c r="Q78" s="123"/>
    </row>
    <row r="79" spans="17:17" x14ac:dyDescent="0.2">
      <c r="Q79" s="123"/>
    </row>
    <row r="80" spans="17:17" x14ac:dyDescent="0.2">
      <c r="Q80" s="123"/>
    </row>
    <row r="81" spans="17:17" x14ac:dyDescent="0.2">
      <c r="Q81" s="123"/>
    </row>
    <row r="82" spans="17:17" x14ac:dyDescent="0.2">
      <c r="Q82" s="123"/>
    </row>
    <row r="83" spans="17:17" x14ac:dyDescent="0.2">
      <c r="Q83" s="123"/>
    </row>
    <row r="84" spans="17:17" x14ac:dyDescent="0.2">
      <c r="Q84" s="123"/>
    </row>
    <row r="85" spans="17:17" x14ac:dyDescent="0.2">
      <c r="Q85" s="123"/>
    </row>
    <row r="86" spans="17:17" x14ac:dyDescent="0.2">
      <c r="Q86" s="123"/>
    </row>
    <row r="87" spans="17:17" x14ac:dyDescent="0.2">
      <c r="Q87" s="123"/>
    </row>
    <row r="88" spans="17:17" x14ac:dyDescent="0.2">
      <c r="Q88" s="123"/>
    </row>
    <row r="89" spans="17:17" x14ac:dyDescent="0.2">
      <c r="Q89" s="123"/>
    </row>
    <row r="90" spans="17:17" x14ac:dyDescent="0.2">
      <c r="Q90" s="123"/>
    </row>
    <row r="91" spans="17:17" x14ac:dyDescent="0.2">
      <c r="Q91" s="123"/>
    </row>
    <row r="92" spans="17:17" x14ac:dyDescent="0.2">
      <c r="Q92" s="123"/>
    </row>
    <row r="93" spans="17:17" x14ac:dyDescent="0.2">
      <c r="Q93" s="123"/>
    </row>
    <row r="94" spans="17:17" x14ac:dyDescent="0.2">
      <c r="Q94" s="123"/>
    </row>
    <row r="95" spans="17:17" x14ac:dyDescent="0.2">
      <c r="Q95" s="123"/>
    </row>
    <row r="96" spans="17:17" x14ac:dyDescent="0.2">
      <c r="Q96" s="123"/>
    </row>
  </sheetData>
  <mergeCells count="1">
    <mergeCell ref="C24:D24"/>
  </mergeCells>
  <conditionalFormatting sqref="A1:B21 A23:B25 A22">
    <cfRule type="containsText" dxfId="14" priority="11" operator="containsText" text="CDM6044">
      <formula>NOT(ISERROR(SEARCH("CDM6044",A1)))</formula>
    </cfRule>
    <cfRule type="containsText" dxfId="13" priority="12" operator="containsText" text="CDM6043">
      <formula>NOT(ISERROR(SEARCH("CDM6043",A1)))</formula>
    </cfRule>
    <cfRule type="containsText" dxfId="12" priority="13" operator="containsText" text="CDM6043">
      <formula>NOT(ISERROR(SEARCH("CDM6043",A1)))</formula>
    </cfRule>
    <cfRule type="containsText" dxfId="11" priority="14" operator="containsText" text="CDM6043">
      <formula>NOT(ISERROR(SEARCH("CDM6043",A1)))</formula>
    </cfRule>
    <cfRule type="containsText" dxfId="10" priority="15" operator="containsText" text="CDM6042">
      <formula>NOT(ISERROR(SEARCH("CDM6042",A1)))</formula>
    </cfRule>
  </conditionalFormatting>
  <conditionalFormatting sqref="B22">
    <cfRule type="containsText" dxfId="9" priority="1" operator="containsText" text="CDM6044">
      <formula>NOT(ISERROR(SEARCH("CDM6044",B22)))</formula>
    </cfRule>
    <cfRule type="containsText" dxfId="8" priority="2" operator="containsText" text="CDM6043">
      <formula>NOT(ISERROR(SEARCH("CDM6043",B22)))</formula>
    </cfRule>
    <cfRule type="containsText" dxfId="7" priority="3" operator="containsText" text="CDM6043">
      <formula>NOT(ISERROR(SEARCH("CDM6043",B22)))</formula>
    </cfRule>
    <cfRule type="containsText" dxfId="6" priority="4" operator="containsText" text="CDM6043">
      <formula>NOT(ISERROR(SEARCH("CDM6043",B22)))</formula>
    </cfRule>
    <cfRule type="containsText" dxfId="5" priority="5" operator="containsText" text="CDM6042">
      <formula>NOT(ISERROR(SEARCH("CDM6042",B22)))</formula>
    </cfRule>
  </conditionalFormatting>
  <hyperlinks>
    <hyperlink ref="C24" r:id="rId1" display="unfccc.int/cooperation_support/nama/items/6945.php" xr:uid="{00000000-0004-0000-0100-000000000000}"/>
    <hyperlink ref="W5" r:id="rId2" xr:uid="{00000000-0004-0000-0100-000001000000}"/>
    <hyperlink ref="W4" r:id="rId3" display="www.giz.de/Themen/en/26097.htm" xr:uid="{00000000-0004-0000-0100-000002000000}"/>
    <hyperlink ref="W7" r:id="rId4" xr:uid="{00000000-0004-0000-0100-000003000000}"/>
    <hyperlink ref="W9" r:id="rId5" display="www.eu-africa-infrastructure-tf.net/about/FAQ/index.htm_x000a_" xr:uid="{00000000-0004-0000-0100-000004000000}"/>
    <hyperlink ref="W6" r:id="rId6" display="http://www.international-climate-initiative.com/en/issues/nama-facility/" xr:uid="{00000000-0004-0000-0100-000005000000}"/>
    <hyperlink ref="W13" r:id="rId7" xr:uid="{00000000-0004-0000-0100-000006000000}"/>
  </hyperlinks>
  <pageMargins left="0.74803149606299213" right="0.74803149606299213" top="0.74803149606299213" bottom="0.74803149606299213" header="0.15748031496062992" footer="0.15748031496062992"/>
  <pageSetup paperSize="9" scale="16" orientation="landscape"/>
  <headerFooter alignWithMargins="0"/>
  <legacyDrawing r:id="rId8"/>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J124"/>
  <sheetViews>
    <sheetView topLeftCell="A79" workbookViewId="0">
      <selection activeCell="I14" sqref="I14"/>
    </sheetView>
  </sheetViews>
  <sheetFormatPr defaultRowHeight="12.75" x14ac:dyDescent="0.2"/>
  <cols>
    <col min="1" max="1" width="24.140625" customWidth="1"/>
    <col min="2" max="2" width="14.85546875" customWidth="1"/>
    <col min="3" max="3" width="15.85546875" customWidth="1"/>
    <col min="4" max="4" width="19.140625" customWidth="1"/>
    <col min="5" max="5" width="7.28515625" customWidth="1"/>
    <col min="6" max="6" width="10" customWidth="1"/>
    <col min="7" max="7" width="14.7109375" customWidth="1"/>
    <col min="8" max="8" width="16.28515625" customWidth="1"/>
    <col min="9" max="9" width="24" customWidth="1"/>
  </cols>
  <sheetData>
    <row r="1" spans="1:1" x14ac:dyDescent="0.2">
      <c r="A1" s="116" t="str">
        <f>+NAMAs!A1</f>
        <v>The NAMApipeline was produced by Jørgen Fenhann, UNEP Copenhagen Climate Centre, 1.October 2022, jorgen.fenhann@un.org, Phone (+45)40202789</v>
      </c>
    </row>
    <row r="2" spans="1:1" x14ac:dyDescent="0.2">
      <c r="A2" s="116"/>
    </row>
    <row r="3" spans="1:1" x14ac:dyDescent="0.2">
      <c r="A3" s="116"/>
    </row>
    <row r="4" spans="1:1" x14ac:dyDescent="0.2">
      <c r="A4" s="116"/>
    </row>
    <row r="5" spans="1:1" x14ac:dyDescent="0.2">
      <c r="A5" s="116"/>
    </row>
    <row r="6" spans="1:1" x14ac:dyDescent="0.2">
      <c r="A6" s="116"/>
    </row>
    <row r="7" spans="1:1" x14ac:dyDescent="0.2">
      <c r="A7" s="116"/>
    </row>
    <row r="8" spans="1:1" x14ac:dyDescent="0.2">
      <c r="A8" s="116"/>
    </row>
    <row r="9" spans="1:1" x14ac:dyDescent="0.2">
      <c r="A9" s="116"/>
    </row>
    <row r="10" spans="1:1" x14ac:dyDescent="0.2">
      <c r="A10" s="116"/>
    </row>
    <row r="11" spans="1:1" x14ac:dyDescent="0.2">
      <c r="A11" s="116"/>
    </row>
    <row r="12" spans="1:1" x14ac:dyDescent="0.2">
      <c r="A12" s="116"/>
    </row>
    <row r="13" spans="1:1" x14ac:dyDescent="0.2">
      <c r="A13" s="116"/>
    </row>
    <row r="14" spans="1:1" x14ac:dyDescent="0.2">
      <c r="A14" s="116"/>
    </row>
    <row r="15" spans="1:1" x14ac:dyDescent="0.2">
      <c r="A15" s="116"/>
    </row>
    <row r="16" spans="1:1" x14ac:dyDescent="0.2">
      <c r="A16" s="116"/>
    </row>
    <row r="17" spans="1:10" x14ac:dyDescent="0.2">
      <c r="A17" s="116"/>
    </row>
    <row r="18" spans="1:10" x14ac:dyDescent="0.2">
      <c r="A18" s="116"/>
    </row>
    <row r="19" spans="1:10" x14ac:dyDescent="0.2">
      <c r="A19" s="116"/>
    </row>
    <row r="20" spans="1:10" x14ac:dyDescent="0.2">
      <c r="A20" s="116"/>
    </row>
    <row r="21" spans="1:10" x14ac:dyDescent="0.2">
      <c r="A21" s="116"/>
    </row>
    <row r="22" spans="1:10" x14ac:dyDescent="0.2">
      <c r="A22" s="116"/>
    </row>
    <row r="23" spans="1:10" x14ac:dyDescent="0.2">
      <c r="A23" s="116"/>
    </row>
    <row r="24" spans="1:10" x14ac:dyDescent="0.2">
      <c r="F24" s="108" t="s">
        <v>431</v>
      </c>
      <c r="G24" s="108" t="s">
        <v>431</v>
      </c>
      <c r="H24" s="108" t="s">
        <v>844</v>
      </c>
    </row>
    <row r="25" spans="1:10" x14ac:dyDescent="0.2">
      <c r="A25" s="109" t="s">
        <v>433</v>
      </c>
      <c r="C25" s="537" t="s">
        <v>7</v>
      </c>
      <c r="D25" s="538"/>
      <c r="F25" s="230" t="s">
        <v>1157</v>
      </c>
      <c r="G25" s="230" t="s">
        <v>1159</v>
      </c>
      <c r="H25" s="230" t="s">
        <v>845</v>
      </c>
    </row>
    <row r="26" spans="1:10" x14ac:dyDescent="0.2">
      <c r="A26" s="103" t="s">
        <v>427</v>
      </c>
      <c r="B26" s="108" t="s">
        <v>312</v>
      </c>
      <c r="C26" s="107" t="s">
        <v>428</v>
      </c>
      <c r="D26" s="118" t="s">
        <v>429</v>
      </c>
      <c r="E26" s="173" t="s">
        <v>431</v>
      </c>
      <c r="F26" s="174" t="s">
        <v>1158</v>
      </c>
      <c r="G26" s="174" t="s">
        <v>774</v>
      </c>
      <c r="H26" s="174" t="s">
        <v>846</v>
      </c>
      <c r="I26" s="123"/>
      <c r="J26" s="123"/>
    </row>
    <row r="27" spans="1:10" x14ac:dyDescent="0.2">
      <c r="A27" s="93" t="s">
        <v>106</v>
      </c>
      <c r="B27" s="104">
        <f>SUM(B28:B43)</f>
        <v>8</v>
      </c>
      <c r="C27" s="104">
        <f t="shared" ref="C27:H27" si="0">SUM(C28:C43)</f>
        <v>25</v>
      </c>
      <c r="D27" s="189">
        <f t="shared" si="0"/>
        <v>34</v>
      </c>
      <c r="E27" s="104">
        <f>SUM(B27:D27)</f>
        <v>67</v>
      </c>
      <c r="F27" s="231">
        <f>SUM(F28:F43)</f>
        <v>17051.206609690384</v>
      </c>
      <c r="G27" s="175">
        <f>SUM(G28:G43)</f>
        <v>5063.5616318805533</v>
      </c>
      <c r="H27" s="175">
        <f t="shared" si="0"/>
        <v>127.476315</v>
      </c>
      <c r="J27" s="123"/>
    </row>
    <row r="28" spans="1:10" x14ac:dyDescent="0.2">
      <c r="A28" s="96" t="s">
        <v>46</v>
      </c>
      <c r="B28" s="99">
        <v>1</v>
      </c>
      <c r="C28" s="99">
        <v>1</v>
      </c>
      <c r="D28" s="190">
        <v>4</v>
      </c>
      <c r="E28" s="99">
        <f t="shared" ref="E28:E84" si="1">SUM(B28:D28)</f>
        <v>6</v>
      </c>
      <c r="F28" s="278">
        <v>232.75149999999999</v>
      </c>
      <c r="G28" s="176">
        <v>64.25</v>
      </c>
      <c r="H28" s="176">
        <v>26.593</v>
      </c>
      <c r="J28" s="123"/>
    </row>
    <row r="29" spans="1:10" x14ac:dyDescent="0.2">
      <c r="A29" s="96" t="s">
        <v>58</v>
      </c>
      <c r="B29" s="99"/>
      <c r="C29" s="99"/>
      <c r="D29" s="190">
        <v>2</v>
      </c>
      <c r="E29" s="99">
        <f t="shared" si="1"/>
        <v>2</v>
      </c>
      <c r="F29" s="278">
        <v>8.3333333333333339</v>
      </c>
      <c r="G29" s="176">
        <v>8.3333333333333339</v>
      </c>
      <c r="H29" s="176">
        <v>0.52</v>
      </c>
      <c r="J29" s="123"/>
    </row>
    <row r="30" spans="1:10" x14ac:dyDescent="0.2">
      <c r="A30" s="96" t="s">
        <v>55</v>
      </c>
      <c r="B30" s="99">
        <v>2</v>
      </c>
      <c r="C30" s="99">
        <v>3</v>
      </c>
      <c r="D30" s="190">
        <v>4</v>
      </c>
      <c r="E30" s="99">
        <f t="shared" si="1"/>
        <v>9</v>
      </c>
      <c r="F30" s="278">
        <v>2957.2629883570507</v>
      </c>
      <c r="G30" s="176">
        <v>2160.4729495472188</v>
      </c>
      <c r="H30" s="176">
        <v>19.828876000000001</v>
      </c>
      <c r="J30" s="123"/>
    </row>
    <row r="31" spans="1:10" x14ac:dyDescent="0.2">
      <c r="A31" s="119" t="s">
        <v>2085</v>
      </c>
      <c r="B31" s="99"/>
      <c r="C31" s="99">
        <v>1</v>
      </c>
      <c r="D31" s="190"/>
      <c r="E31" s="99">
        <f t="shared" si="1"/>
        <v>1</v>
      </c>
      <c r="F31" s="278">
        <v>0.53100000000000003</v>
      </c>
      <c r="G31" s="176">
        <v>0.43099999999999999</v>
      </c>
      <c r="H31" s="176">
        <v>0</v>
      </c>
      <c r="J31" s="123"/>
    </row>
    <row r="32" spans="1:10" x14ac:dyDescent="0.2">
      <c r="A32" s="97" t="s">
        <v>363</v>
      </c>
      <c r="B32" s="99"/>
      <c r="C32" s="99"/>
      <c r="D32" s="190">
        <v>1</v>
      </c>
      <c r="E32" s="99">
        <f t="shared" si="1"/>
        <v>1</v>
      </c>
      <c r="F32" s="278">
        <v>1000</v>
      </c>
      <c r="G32" s="176">
        <v>500</v>
      </c>
      <c r="H32" s="176">
        <v>0.2</v>
      </c>
      <c r="J32" s="123"/>
    </row>
    <row r="33" spans="1:10" x14ac:dyDescent="0.2">
      <c r="A33" s="97" t="s">
        <v>346</v>
      </c>
      <c r="B33" s="99">
        <v>1</v>
      </c>
      <c r="C33" s="99">
        <v>3</v>
      </c>
      <c r="D33" s="190">
        <v>4</v>
      </c>
      <c r="E33" s="99">
        <f t="shared" si="1"/>
        <v>8</v>
      </c>
      <c r="F33" s="278">
        <v>611.26006899999993</v>
      </c>
      <c r="G33" s="176">
        <v>359.98908500000005</v>
      </c>
      <c r="H33" s="176">
        <v>2.0680000000000001</v>
      </c>
      <c r="J33" s="123"/>
    </row>
    <row r="34" spans="1:10" x14ac:dyDescent="0.2">
      <c r="A34" s="97" t="s">
        <v>2102</v>
      </c>
      <c r="B34" s="99"/>
      <c r="C34" s="99"/>
      <c r="D34" s="190">
        <v>1</v>
      </c>
      <c r="E34" s="99">
        <f t="shared" si="1"/>
        <v>1</v>
      </c>
      <c r="F34" s="278">
        <v>98.321200000000005</v>
      </c>
      <c r="G34" s="176">
        <v>58.216499999999996</v>
      </c>
      <c r="H34" s="176">
        <v>2.6839999999999999E-2</v>
      </c>
      <c r="J34" s="123"/>
    </row>
    <row r="35" spans="1:10" x14ac:dyDescent="0.2">
      <c r="A35" s="97" t="s">
        <v>2347</v>
      </c>
      <c r="B35" s="99"/>
      <c r="C35" s="99"/>
      <c r="D35" s="190">
        <v>6</v>
      </c>
      <c r="E35" s="99">
        <f t="shared" si="1"/>
        <v>6</v>
      </c>
      <c r="F35" s="278">
        <v>3843.5670519999999</v>
      </c>
      <c r="G35" s="176">
        <v>716.4276890000001</v>
      </c>
      <c r="H35" s="176">
        <v>0</v>
      </c>
      <c r="J35" s="123"/>
    </row>
    <row r="36" spans="1:10" x14ac:dyDescent="0.2">
      <c r="A36" s="97" t="s">
        <v>1809</v>
      </c>
      <c r="B36" s="99"/>
      <c r="C36" s="99">
        <v>3</v>
      </c>
      <c r="D36" s="190">
        <v>1</v>
      </c>
      <c r="E36" s="99">
        <f t="shared" si="1"/>
        <v>4</v>
      </c>
      <c r="F36" s="278">
        <v>342.35128200000003</v>
      </c>
      <c r="G36" s="176">
        <v>14.894281999999999</v>
      </c>
      <c r="H36" s="176">
        <v>2.4351989999999999</v>
      </c>
      <c r="J36" s="123"/>
    </row>
    <row r="37" spans="1:10" x14ac:dyDescent="0.2">
      <c r="A37" s="97" t="s">
        <v>199</v>
      </c>
      <c r="B37" s="99"/>
      <c r="C37" s="99">
        <v>1</v>
      </c>
      <c r="D37" s="190"/>
      <c r="E37" s="99">
        <f t="shared" si="1"/>
        <v>1</v>
      </c>
      <c r="F37" s="278">
        <v>0.35</v>
      </c>
      <c r="G37" s="176">
        <v>0.35</v>
      </c>
      <c r="H37" s="176">
        <v>0</v>
      </c>
      <c r="J37" s="123"/>
    </row>
    <row r="38" spans="1:10" x14ac:dyDescent="0.2">
      <c r="A38" s="97" t="s">
        <v>73</v>
      </c>
      <c r="B38" s="99"/>
      <c r="C38" s="99">
        <v>10</v>
      </c>
      <c r="D38" s="190">
        <v>7</v>
      </c>
      <c r="E38" s="99">
        <f t="shared" si="1"/>
        <v>17</v>
      </c>
      <c r="F38" s="278">
        <v>1230.181247</v>
      </c>
      <c r="G38" s="176">
        <v>1059.2589840000001</v>
      </c>
      <c r="H38" s="176">
        <v>69.092150000000004</v>
      </c>
      <c r="J38" s="123"/>
    </row>
    <row r="39" spans="1:10" x14ac:dyDescent="0.2">
      <c r="A39" s="97" t="s">
        <v>165</v>
      </c>
      <c r="B39" s="99">
        <v>1</v>
      </c>
      <c r="C39" s="99"/>
      <c r="D39" s="190"/>
      <c r="E39" s="99">
        <f t="shared" si="1"/>
        <v>1</v>
      </c>
      <c r="F39" s="278">
        <v>0</v>
      </c>
      <c r="G39" s="176">
        <v>0</v>
      </c>
      <c r="H39" s="176">
        <v>0</v>
      </c>
      <c r="J39" s="123"/>
    </row>
    <row r="40" spans="1:10" x14ac:dyDescent="0.2">
      <c r="A40" s="97" t="s">
        <v>77</v>
      </c>
      <c r="B40" s="99"/>
      <c r="C40" s="99"/>
      <c r="D40" s="190">
        <v>1</v>
      </c>
      <c r="E40" s="99">
        <f t="shared" si="1"/>
        <v>1</v>
      </c>
      <c r="F40" s="278">
        <v>6202</v>
      </c>
      <c r="G40" s="176">
        <v>106.5</v>
      </c>
      <c r="H40" s="176">
        <v>0.15499999999999994</v>
      </c>
      <c r="J40" s="123"/>
    </row>
    <row r="41" spans="1:10" x14ac:dyDescent="0.2">
      <c r="A41" s="97" t="s">
        <v>167</v>
      </c>
      <c r="B41" s="99"/>
      <c r="C41" s="99"/>
      <c r="D41" s="190">
        <v>1</v>
      </c>
      <c r="E41" s="99">
        <f t="shared" si="1"/>
        <v>1</v>
      </c>
      <c r="F41" s="278">
        <v>2.0839379999999998</v>
      </c>
      <c r="G41" s="176">
        <v>0.72480900000000004</v>
      </c>
      <c r="H41" s="519">
        <v>6.8000000000000005E-4</v>
      </c>
      <c r="J41" s="123"/>
    </row>
    <row r="42" spans="1:10" x14ac:dyDescent="0.2">
      <c r="A42" s="97" t="s">
        <v>2452</v>
      </c>
      <c r="B42" s="99"/>
      <c r="C42" s="99"/>
      <c r="D42" s="190">
        <v>1</v>
      </c>
      <c r="E42" s="99">
        <f t="shared" si="1"/>
        <v>1</v>
      </c>
      <c r="F42" s="278">
        <v>12.988</v>
      </c>
      <c r="G42" s="176">
        <v>9.9879999999999995</v>
      </c>
      <c r="H42" s="519">
        <v>2.4570000000000002E-2</v>
      </c>
      <c r="J42" s="123"/>
    </row>
    <row r="43" spans="1:10" x14ac:dyDescent="0.2">
      <c r="A43" s="97" t="s">
        <v>176</v>
      </c>
      <c r="B43" s="99">
        <v>3</v>
      </c>
      <c r="C43" s="99">
        <v>3</v>
      </c>
      <c r="D43" s="190">
        <v>1</v>
      </c>
      <c r="E43" s="99">
        <f t="shared" si="1"/>
        <v>7</v>
      </c>
      <c r="F43" s="278">
        <v>509.22500000000002</v>
      </c>
      <c r="G43" s="176">
        <v>3.7250000000000001</v>
      </c>
      <c r="H43" s="176">
        <v>6.532</v>
      </c>
      <c r="J43" s="123"/>
    </row>
    <row r="44" spans="1:10" x14ac:dyDescent="0.2">
      <c r="A44" s="93" t="s">
        <v>112</v>
      </c>
      <c r="B44" s="104">
        <f>SUM(B45:B56)</f>
        <v>2</v>
      </c>
      <c r="C44" s="155">
        <f>SUM(C45:C56)</f>
        <v>14</v>
      </c>
      <c r="D44" s="104">
        <f>SUM(D45:D56)</f>
        <v>18</v>
      </c>
      <c r="E44" s="155">
        <f t="shared" si="1"/>
        <v>34</v>
      </c>
      <c r="F44" s="175">
        <f>SUM(F45:F56)</f>
        <v>11949.841071333332</v>
      </c>
      <c r="G44" s="386">
        <f>SUM(G45:G56)</f>
        <v>1807.5297573333332</v>
      </c>
      <c r="H44" s="175">
        <f>SUM(H45:H56)</f>
        <v>67.164125184666673</v>
      </c>
      <c r="J44" s="123"/>
    </row>
    <row r="45" spans="1:10" x14ac:dyDescent="0.2">
      <c r="A45" s="119" t="s">
        <v>137</v>
      </c>
      <c r="B45" s="153"/>
      <c r="C45" s="514"/>
      <c r="D45" s="180">
        <v>1</v>
      </c>
      <c r="E45" s="154">
        <f t="shared" si="1"/>
        <v>1</v>
      </c>
      <c r="F45" s="181">
        <v>14</v>
      </c>
      <c r="G45" s="515">
        <v>14</v>
      </c>
      <c r="H45" s="181">
        <v>0.45</v>
      </c>
      <c r="J45" s="123"/>
    </row>
    <row r="46" spans="1:10" x14ac:dyDescent="0.2">
      <c r="A46" s="96" t="s">
        <v>316</v>
      </c>
      <c r="B46" s="99"/>
      <c r="C46" s="154"/>
      <c r="D46" s="99">
        <v>1</v>
      </c>
      <c r="E46" s="154">
        <f t="shared" si="1"/>
        <v>1</v>
      </c>
      <c r="F46" s="176">
        <v>201.56390000000002</v>
      </c>
      <c r="G46" s="232">
        <v>0.45924999999999999</v>
      </c>
      <c r="H46" s="176">
        <v>2.5000000000000001E-2</v>
      </c>
      <c r="J46" s="123"/>
    </row>
    <row r="47" spans="1:10" x14ac:dyDescent="0.2">
      <c r="A47" s="97" t="s">
        <v>65</v>
      </c>
      <c r="B47" s="99"/>
      <c r="C47" s="154"/>
      <c r="D47" s="99">
        <v>2</v>
      </c>
      <c r="E47" s="154">
        <f t="shared" si="1"/>
        <v>2</v>
      </c>
      <c r="F47" s="176">
        <v>1094</v>
      </c>
      <c r="G47" s="232">
        <v>350.5</v>
      </c>
      <c r="H47" s="176">
        <v>5.4249999999999998</v>
      </c>
      <c r="J47" s="123"/>
    </row>
    <row r="48" spans="1:10" x14ac:dyDescent="0.2">
      <c r="A48" s="119" t="s">
        <v>154</v>
      </c>
      <c r="B48" s="99"/>
      <c r="C48" s="154">
        <v>1</v>
      </c>
      <c r="D48" s="99">
        <v>1</v>
      </c>
      <c r="E48" s="154">
        <f t="shared" si="1"/>
        <v>2</v>
      </c>
      <c r="F48" s="176">
        <v>2.9925379999999997</v>
      </c>
      <c r="G48" s="232">
        <v>2.5658499999999997</v>
      </c>
      <c r="H48" s="176">
        <v>0</v>
      </c>
      <c r="J48" s="123"/>
    </row>
    <row r="49" spans="1:10" x14ac:dyDescent="0.2">
      <c r="A49" s="97" t="s">
        <v>1516</v>
      </c>
      <c r="B49" s="99">
        <v>1</v>
      </c>
      <c r="C49" s="154">
        <v>1</v>
      </c>
      <c r="D49" s="99">
        <v>1</v>
      </c>
      <c r="E49" s="154">
        <f t="shared" si="1"/>
        <v>3</v>
      </c>
      <c r="F49" s="176">
        <v>40.1</v>
      </c>
      <c r="G49" s="232">
        <v>7.6</v>
      </c>
      <c r="H49" s="176">
        <v>4.5608296666666659</v>
      </c>
      <c r="J49" s="123"/>
    </row>
    <row r="50" spans="1:10" x14ac:dyDescent="0.2">
      <c r="A50" s="97" t="s">
        <v>74</v>
      </c>
      <c r="B50" s="99"/>
      <c r="C50" s="154">
        <v>2</v>
      </c>
      <c r="D50" s="99">
        <v>3</v>
      </c>
      <c r="E50" s="154">
        <f t="shared" si="1"/>
        <v>5</v>
      </c>
      <c r="F50" s="176">
        <v>1871.1095</v>
      </c>
      <c r="G50" s="232">
        <v>604.60950000000003</v>
      </c>
      <c r="H50" s="176">
        <v>9.1506375179999999</v>
      </c>
      <c r="J50" s="123"/>
    </row>
    <row r="51" spans="1:10" x14ac:dyDescent="0.2">
      <c r="A51" s="97" t="s">
        <v>746</v>
      </c>
      <c r="B51" s="99"/>
      <c r="C51" s="154">
        <v>8</v>
      </c>
      <c r="D51" s="99"/>
      <c r="E51" s="154">
        <f t="shared" ref="E51:E53" si="2">SUM(B51:D51)</f>
        <v>8</v>
      </c>
      <c r="F51" s="176">
        <v>140.55197133333331</v>
      </c>
      <c r="G51" s="232">
        <v>140.55197133333331</v>
      </c>
      <c r="H51" s="176">
        <v>14.030000000000001</v>
      </c>
      <c r="J51" s="123"/>
    </row>
    <row r="52" spans="1:10" x14ac:dyDescent="0.2">
      <c r="A52" s="97" t="s">
        <v>168</v>
      </c>
      <c r="B52" s="99"/>
      <c r="C52" s="154"/>
      <c r="D52" s="99">
        <v>1</v>
      </c>
      <c r="E52" s="154">
        <f t="shared" si="2"/>
        <v>1</v>
      </c>
      <c r="F52" s="176">
        <v>11.621742999999999</v>
      </c>
      <c r="G52" s="232">
        <v>11.621742999999999</v>
      </c>
      <c r="H52" s="519">
        <v>4.0870000000000004E-3</v>
      </c>
      <c r="J52" s="123"/>
    </row>
    <row r="53" spans="1:10" x14ac:dyDescent="0.2">
      <c r="A53" s="97" t="s">
        <v>2092</v>
      </c>
      <c r="B53" s="99"/>
      <c r="C53" s="154"/>
      <c r="D53" s="99">
        <v>1</v>
      </c>
      <c r="E53" s="154">
        <f t="shared" si="2"/>
        <v>1</v>
      </c>
      <c r="F53" s="176">
        <v>1.790141</v>
      </c>
      <c r="G53" s="232">
        <v>1.790141</v>
      </c>
      <c r="H53" s="176">
        <v>16.126000000000001</v>
      </c>
      <c r="J53" s="123"/>
    </row>
    <row r="54" spans="1:10" x14ac:dyDescent="0.2">
      <c r="A54" s="97" t="s">
        <v>1419</v>
      </c>
      <c r="B54" s="99">
        <v>1</v>
      </c>
      <c r="C54" s="154">
        <v>1</v>
      </c>
      <c r="D54" s="99">
        <v>2</v>
      </c>
      <c r="E54" s="154">
        <f t="shared" si="1"/>
        <v>4</v>
      </c>
      <c r="F54" s="176">
        <v>1558.0308730000002</v>
      </c>
      <c r="G54" s="232">
        <v>31.182302</v>
      </c>
      <c r="H54" s="176">
        <v>5.0380000000000003</v>
      </c>
      <c r="J54" s="123"/>
    </row>
    <row r="55" spans="1:10" x14ac:dyDescent="0.2">
      <c r="A55" s="97" t="s">
        <v>1749</v>
      </c>
      <c r="B55" s="99"/>
      <c r="C55" s="154">
        <v>1</v>
      </c>
      <c r="D55" s="99">
        <v>1</v>
      </c>
      <c r="E55" s="154">
        <f t="shared" ref="E55" si="3">SUM(B55:D55)</f>
        <v>2</v>
      </c>
      <c r="F55" s="176">
        <v>5.875</v>
      </c>
      <c r="G55" s="232">
        <v>5.875</v>
      </c>
      <c r="H55" s="176">
        <v>1.35E-2</v>
      </c>
      <c r="J55" s="123"/>
    </row>
    <row r="56" spans="1:10" x14ac:dyDescent="0.2">
      <c r="A56" s="98" t="s">
        <v>179</v>
      </c>
      <c r="B56" s="100"/>
      <c r="C56" s="156"/>
      <c r="D56" s="100">
        <v>4</v>
      </c>
      <c r="E56" s="156">
        <f t="shared" si="1"/>
        <v>4</v>
      </c>
      <c r="F56" s="177">
        <v>7008.2054049999988</v>
      </c>
      <c r="G56" s="233">
        <v>636.774</v>
      </c>
      <c r="H56" s="177">
        <v>12.341071000000001</v>
      </c>
      <c r="J56" s="123"/>
    </row>
    <row r="57" spans="1:10" x14ac:dyDescent="0.2">
      <c r="A57" s="94" t="s">
        <v>109</v>
      </c>
      <c r="B57" s="153">
        <f t="shared" ref="B57:H57" si="4">SUM(B58:B65)</f>
        <v>2</v>
      </c>
      <c r="C57" s="153">
        <f t="shared" si="4"/>
        <v>3</v>
      </c>
      <c r="D57" s="191">
        <f t="shared" si="4"/>
        <v>30</v>
      </c>
      <c r="E57" s="153">
        <f t="shared" si="4"/>
        <v>35</v>
      </c>
      <c r="F57" s="279">
        <f>SUM(F58:F65)</f>
        <v>6876.6803417804886</v>
      </c>
      <c r="G57" s="236">
        <f>SUM(G58:G65)</f>
        <v>5150.5153638838865</v>
      </c>
      <c r="H57" s="236">
        <f t="shared" si="4"/>
        <v>25.734074361904764</v>
      </c>
      <c r="J57" s="123"/>
    </row>
    <row r="58" spans="1:10" x14ac:dyDescent="0.2">
      <c r="A58" s="96" t="s">
        <v>30</v>
      </c>
      <c r="B58" s="180"/>
      <c r="C58" s="180"/>
      <c r="D58" s="192">
        <v>1</v>
      </c>
      <c r="E58" s="180">
        <f t="shared" ref="E58:E65" si="5">SUM(B58:D58)</f>
        <v>1</v>
      </c>
      <c r="F58" s="280">
        <v>224.5</v>
      </c>
      <c r="G58" s="181">
        <v>24.5</v>
      </c>
      <c r="H58" s="181">
        <v>0.1</v>
      </c>
      <c r="J58" s="123"/>
    </row>
    <row r="59" spans="1:10" ht="12" customHeight="1" x14ac:dyDescent="0.2">
      <c r="A59" s="96" t="s">
        <v>796</v>
      </c>
      <c r="B59" s="180"/>
      <c r="C59" s="180">
        <v>1</v>
      </c>
      <c r="D59" s="192"/>
      <c r="E59" s="180">
        <f t="shared" si="5"/>
        <v>1</v>
      </c>
      <c r="F59" s="280">
        <v>0.1</v>
      </c>
      <c r="G59" s="181">
        <v>0.1</v>
      </c>
      <c r="H59" s="181">
        <v>0</v>
      </c>
      <c r="J59" s="123"/>
    </row>
    <row r="60" spans="1:10" ht="12" customHeight="1" x14ac:dyDescent="0.2">
      <c r="A60" s="96" t="s">
        <v>140</v>
      </c>
      <c r="B60" s="180"/>
      <c r="C60" s="180"/>
      <c r="D60" s="192">
        <v>1</v>
      </c>
      <c r="E60" s="180">
        <f t="shared" si="5"/>
        <v>1</v>
      </c>
      <c r="F60" s="280">
        <v>15.480658483829238</v>
      </c>
      <c r="G60" s="181">
        <v>11.694696</v>
      </c>
      <c r="H60" s="181">
        <v>2.2800000000000001E-4</v>
      </c>
      <c r="J60" s="123"/>
    </row>
    <row r="61" spans="1:10" x14ac:dyDescent="0.2">
      <c r="A61" s="96" t="s">
        <v>62</v>
      </c>
      <c r="B61" s="180"/>
      <c r="C61" s="153"/>
      <c r="D61" s="192">
        <v>3</v>
      </c>
      <c r="E61" s="180">
        <f t="shared" si="5"/>
        <v>3</v>
      </c>
      <c r="F61" s="280">
        <v>43.415419095238093</v>
      </c>
      <c r="G61" s="181">
        <v>32.858992000000001</v>
      </c>
      <c r="H61" s="181">
        <v>4.8000000000000001E-2</v>
      </c>
      <c r="J61" s="123"/>
    </row>
    <row r="62" spans="1:10" x14ac:dyDescent="0.2">
      <c r="A62" s="96" t="s">
        <v>193</v>
      </c>
      <c r="B62" s="180"/>
      <c r="C62" s="180">
        <v>1</v>
      </c>
      <c r="D62" s="192">
        <v>1</v>
      </c>
      <c r="E62" s="180">
        <f t="shared" si="5"/>
        <v>2</v>
      </c>
      <c r="F62" s="280">
        <v>74.275000000000006</v>
      </c>
      <c r="G62" s="181">
        <v>49.494999999999997</v>
      </c>
      <c r="H62" s="181">
        <v>7.8</v>
      </c>
      <c r="J62" s="123"/>
    </row>
    <row r="63" spans="1:10" x14ac:dyDescent="0.2">
      <c r="A63" s="96" t="s">
        <v>79</v>
      </c>
      <c r="B63" s="180"/>
      <c r="C63" s="180"/>
      <c r="D63" s="192">
        <v>12</v>
      </c>
      <c r="E63" s="180">
        <f t="shared" si="5"/>
        <v>12</v>
      </c>
      <c r="F63" s="280">
        <v>2889.8368519999999</v>
      </c>
      <c r="G63" s="181">
        <v>2078.770567</v>
      </c>
      <c r="H63" s="181">
        <v>0</v>
      </c>
      <c r="J63" s="123"/>
    </row>
    <row r="64" spans="1:10" x14ac:dyDescent="0.2">
      <c r="A64" s="112" t="s">
        <v>170</v>
      </c>
      <c r="B64" s="99">
        <v>1</v>
      </c>
      <c r="C64" s="99"/>
      <c r="D64" s="190">
        <v>12</v>
      </c>
      <c r="E64" s="99">
        <f t="shared" si="5"/>
        <v>13</v>
      </c>
      <c r="F64" s="278">
        <v>3628.5224122014215</v>
      </c>
      <c r="G64" s="176">
        <v>2952.5461088838861</v>
      </c>
      <c r="H64" s="176">
        <v>6.9858463619047617</v>
      </c>
      <c r="J64" s="123"/>
    </row>
    <row r="65" spans="1:10" x14ac:dyDescent="0.2">
      <c r="A65" s="391" t="s">
        <v>1776</v>
      </c>
      <c r="B65" s="180">
        <v>1</v>
      </c>
      <c r="C65" s="153">
        <v>1</v>
      </c>
      <c r="D65" s="192"/>
      <c r="E65" s="180">
        <f t="shared" si="5"/>
        <v>2</v>
      </c>
      <c r="F65" s="280">
        <v>0.55000000000000004</v>
      </c>
      <c r="G65" s="181">
        <v>0.55000000000000004</v>
      </c>
      <c r="H65" s="181">
        <v>10.8</v>
      </c>
      <c r="J65" s="123"/>
    </row>
    <row r="66" spans="1:10" x14ac:dyDescent="0.2">
      <c r="A66" s="93" t="s">
        <v>105</v>
      </c>
      <c r="B66" s="104">
        <f>SUM(B67:B79)</f>
        <v>5</v>
      </c>
      <c r="C66" s="155">
        <f>SUM(C67:C79)</f>
        <v>27</v>
      </c>
      <c r="D66" s="104">
        <f>SUM(D67:D79)</f>
        <v>10</v>
      </c>
      <c r="E66" s="155">
        <f t="shared" si="1"/>
        <v>42</v>
      </c>
      <c r="F66" s="175">
        <f>SUM(F67:F79)</f>
        <v>33806.624651000006</v>
      </c>
      <c r="G66" s="386">
        <f>SUM(G67:G79)</f>
        <v>1952.7627139999997</v>
      </c>
      <c r="H66" s="175">
        <f>SUM(H67:H79)</f>
        <v>39.489388333333324</v>
      </c>
      <c r="J66" s="123"/>
    </row>
    <row r="67" spans="1:10" x14ac:dyDescent="0.2">
      <c r="A67" s="119" t="s">
        <v>59</v>
      </c>
      <c r="B67" s="99">
        <v>2</v>
      </c>
      <c r="C67" s="154">
        <v>2</v>
      </c>
      <c r="D67" s="99">
        <v>1</v>
      </c>
      <c r="E67" s="154">
        <f t="shared" ref="E67:E76" si="6">SUM(B67:D67)</f>
        <v>5</v>
      </c>
      <c r="F67" s="258">
        <v>16853.151323000002</v>
      </c>
      <c r="G67" s="400">
        <v>8</v>
      </c>
      <c r="H67" s="258">
        <v>9.4383210000000002</v>
      </c>
      <c r="J67" s="123"/>
    </row>
    <row r="68" spans="1:10" s="311" customFormat="1" x14ac:dyDescent="0.2">
      <c r="A68" s="149" t="s">
        <v>147</v>
      </c>
      <c r="B68" s="324"/>
      <c r="C68" s="401">
        <v>1</v>
      </c>
      <c r="D68" s="324">
        <v>1</v>
      </c>
      <c r="E68" s="154">
        <f t="shared" si="6"/>
        <v>2</v>
      </c>
      <c r="F68" s="325">
        <v>23.192</v>
      </c>
      <c r="G68" s="402">
        <v>11.49</v>
      </c>
      <c r="H68" s="325">
        <v>12</v>
      </c>
      <c r="J68" s="326"/>
    </row>
    <row r="69" spans="1:10" x14ac:dyDescent="0.2">
      <c r="A69" s="149" t="s">
        <v>152</v>
      </c>
      <c r="B69" s="99"/>
      <c r="C69" s="154"/>
      <c r="D69" s="99">
        <v>1</v>
      </c>
      <c r="E69" s="154">
        <f t="shared" si="6"/>
        <v>1</v>
      </c>
      <c r="F69" s="176">
        <v>4538.3</v>
      </c>
      <c r="G69" s="232">
        <v>288.3</v>
      </c>
      <c r="H69" s="176">
        <v>3.77</v>
      </c>
      <c r="J69" s="123"/>
    </row>
    <row r="70" spans="1:10" x14ac:dyDescent="0.2">
      <c r="A70" s="119" t="s">
        <v>158</v>
      </c>
      <c r="B70" s="99"/>
      <c r="C70" s="154">
        <v>2</v>
      </c>
      <c r="D70" s="99"/>
      <c r="E70" s="154">
        <f t="shared" si="6"/>
        <v>2</v>
      </c>
      <c r="F70" s="176">
        <v>1.04</v>
      </c>
      <c r="G70" s="232">
        <v>0.34</v>
      </c>
      <c r="H70" s="176">
        <v>2.4850339999999997</v>
      </c>
      <c r="J70" s="123"/>
    </row>
    <row r="71" spans="1:10" x14ac:dyDescent="0.2">
      <c r="A71" s="149" t="s">
        <v>161</v>
      </c>
      <c r="B71" s="99"/>
      <c r="C71" s="154">
        <v>1</v>
      </c>
      <c r="D71" s="99">
        <v>1</v>
      </c>
      <c r="E71" s="154">
        <f t="shared" si="6"/>
        <v>2</v>
      </c>
      <c r="F71" s="258">
        <v>14.07</v>
      </c>
      <c r="G71" s="400">
        <v>10.97</v>
      </c>
      <c r="H71" s="258">
        <v>0.04</v>
      </c>
      <c r="J71" s="123"/>
    </row>
    <row r="72" spans="1:10" x14ac:dyDescent="0.2">
      <c r="A72" s="149" t="s">
        <v>166</v>
      </c>
      <c r="B72" s="99"/>
      <c r="C72" s="154">
        <v>7</v>
      </c>
      <c r="D72" s="99"/>
      <c r="E72" s="154">
        <f t="shared" si="6"/>
        <v>7</v>
      </c>
      <c r="F72" s="258">
        <v>2.8109999999999999</v>
      </c>
      <c r="G72" s="400">
        <v>2.8109999999999999</v>
      </c>
      <c r="H72" s="258">
        <v>0.61969999999999981</v>
      </c>
      <c r="J72" s="123"/>
    </row>
    <row r="73" spans="1:10" x14ac:dyDescent="0.2">
      <c r="A73" s="119" t="s">
        <v>81</v>
      </c>
      <c r="B73" s="99"/>
      <c r="C73" s="154">
        <v>1</v>
      </c>
      <c r="D73" s="99"/>
      <c r="E73" s="154">
        <f t="shared" si="6"/>
        <v>1</v>
      </c>
      <c r="F73" s="258">
        <v>0.15</v>
      </c>
      <c r="G73" s="400">
        <v>0.15</v>
      </c>
      <c r="H73" s="258">
        <v>0</v>
      </c>
      <c r="J73" s="123"/>
    </row>
    <row r="74" spans="1:10" s="311" customFormat="1" x14ac:dyDescent="0.2">
      <c r="A74" s="149" t="s">
        <v>83</v>
      </c>
      <c r="B74" s="99">
        <v>3</v>
      </c>
      <c r="C74" s="154"/>
      <c r="D74" s="99"/>
      <c r="E74" s="154">
        <f t="shared" si="6"/>
        <v>3</v>
      </c>
      <c r="F74" s="258">
        <v>10459.196117</v>
      </c>
      <c r="G74" s="400">
        <v>0</v>
      </c>
      <c r="H74" s="258">
        <v>0</v>
      </c>
      <c r="J74" s="326"/>
    </row>
    <row r="75" spans="1:10" x14ac:dyDescent="0.2">
      <c r="A75" s="119" t="s">
        <v>833</v>
      </c>
      <c r="B75" s="99"/>
      <c r="C75" s="154"/>
      <c r="D75" s="99">
        <v>1</v>
      </c>
      <c r="E75" s="154">
        <f t="shared" si="6"/>
        <v>1</v>
      </c>
      <c r="F75" s="176">
        <v>500</v>
      </c>
      <c r="G75" s="232">
        <v>500</v>
      </c>
      <c r="H75" s="176">
        <v>0</v>
      </c>
      <c r="J75" s="123"/>
    </row>
    <row r="76" spans="1:10" x14ac:dyDescent="0.2">
      <c r="A76" s="149" t="s">
        <v>87</v>
      </c>
      <c r="B76" s="99"/>
      <c r="C76" s="154"/>
      <c r="D76" s="99">
        <v>1</v>
      </c>
      <c r="E76" s="154">
        <f t="shared" si="6"/>
        <v>1</v>
      </c>
      <c r="F76" s="176">
        <v>919.4</v>
      </c>
      <c r="G76" s="232">
        <v>919.4</v>
      </c>
      <c r="H76" s="176">
        <v>2.0333333333333332</v>
      </c>
      <c r="J76" s="123"/>
    </row>
    <row r="77" spans="1:10" x14ac:dyDescent="0.2">
      <c r="A77" s="119" t="s">
        <v>175</v>
      </c>
      <c r="B77" s="99"/>
      <c r="C77" s="154">
        <v>9</v>
      </c>
      <c r="D77" s="99"/>
      <c r="E77" s="154">
        <f t="shared" si="1"/>
        <v>9</v>
      </c>
      <c r="F77" s="258">
        <v>2.0169999999999999</v>
      </c>
      <c r="G77" s="400">
        <v>2.0169999999999999</v>
      </c>
      <c r="H77" s="258">
        <v>2.4249999999999998</v>
      </c>
      <c r="J77" s="123"/>
    </row>
    <row r="78" spans="1:10" x14ac:dyDescent="0.2">
      <c r="A78" s="119" t="s">
        <v>133</v>
      </c>
      <c r="B78" s="99"/>
      <c r="C78" s="154"/>
      <c r="D78" s="99">
        <v>4</v>
      </c>
      <c r="E78" s="154">
        <f t="shared" si="1"/>
        <v>4</v>
      </c>
      <c r="F78" s="258">
        <v>491.49721099999999</v>
      </c>
      <c r="G78" s="400">
        <v>207.484714</v>
      </c>
      <c r="H78" s="258">
        <v>3.7900000000000005</v>
      </c>
      <c r="J78" s="123"/>
    </row>
    <row r="79" spans="1:10" x14ac:dyDescent="0.2">
      <c r="A79" s="404" t="s">
        <v>1821</v>
      </c>
      <c r="B79" s="100"/>
      <c r="C79" s="156">
        <v>4</v>
      </c>
      <c r="D79" s="100"/>
      <c r="E79" s="100">
        <f t="shared" si="1"/>
        <v>4</v>
      </c>
      <c r="F79" s="195">
        <v>1.8</v>
      </c>
      <c r="G79" s="403">
        <v>1.8</v>
      </c>
      <c r="H79" s="195">
        <v>2.8879999999999999</v>
      </c>
      <c r="J79" s="123"/>
    </row>
    <row r="80" spans="1:10" x14ac:dyDescent="0.2">
      <c r="A80" s="399" t="s">
        <v>430</v>
      </c>
      <c r="B80" s="153">
        <f>SUM(B81:B83)</f>
        <v>0</v>
      </c>
      <c r="C80" s="153">
        <f>SUM(C81:C83)</f>
        <v>7</v>
      </c>
      <c r="D80" s="153">
        <f>SUM(D81:D83)</f>
        <v>9</v>
      </c>
      <c r="E80" s="153">
        <f>SUM(E81:E83)</f>
        <v>16</v>
      </c>
      <c r="F80" s="236">
        <f t="shared" ref="F80:H80" si="7">SUM(F81:F83)</f>
        <v>1429.5518509999999</v>
      </c>
      <c r="G80" s="236">
        <f t="shared" si="7"/>
        <v>802.13502199999994</v>
      </c>
      <c r="H80" s="236">
        <f t="shared" si="7"/>
        <v>60.819298660000001</v>
      </c>
      <c r="J80" s="123"/>
    </row>
    <row r="81" spans="1:10" x14ac:dyDescent="0.2">
      <c r="A81" s="149" t="s">
        <v>2283</v>
      </c>
      <c r="B81" s="153"/>
      <c r="C81" s="153">
        <v>1</v>
      </c>
      <c r="D81" s="191">
        <v>1</v>
      </c>
      <c r="E81" s="180">
        <f t="shared" ref="E81:E83" si="8">SUM(B81:D81)</f>
        <v>2</v>
      </c>
      <c r="F81" s="280">
        <v>121.4</v>
      </c>
      <c r="G81" s="181">
        <v>95.2</v>
      </c>
      <c r="H81" s="181">
        <v>57.3</v>
      </c>
      <c r="J81" s="123"/>
    </row>
    <row r="82" spans="1:10" x14ac:dyDescent="0.2">
      <c r="A82" s="96" t="s">
        <v>67</v>
      </c>
      <c r="B82" s="153"/>
      <c r="C82" s="180">
        <v>6</v>
      </c>
      <c r="D82" s="192">
        <v>3</v>
      </c>
      <c r="E82" s="180">
        <f t="shared" si="8"/>
        <v>9</v>
      </c>
      <c r="F82" s="280">
        <v>290.68185100000005</v>
      </c>
      <c r="G82" s="181">
        <v>84.647021999999993</v>
      </c>
      <c r="H82" s="181">
        <v>2.5424186600000001</v>
      </c>
      <c r="J82" s="123"/>
    </row>
    <row r="83" spans="1:10" x14ac:dyDescent="0.2">
      <c r="A83" s="138" t="s">
        <v>1364</v>
      </c>
      <c r="B83" s="100"/>
      <c r="C83" s="317"/>
      <c r="D83" s="318">
        <v>5</v>
      </c>
      <c r="E83" s="317">
        <f t="shared" si="8"/>
        <v>5</v>
      </c>
      <c r="F83" s="345">
        <v>1017.4699999999999</v>
      </c>
      <c r="G83" s="346">
        <v>622.2879999999999</v>
      </c>
      <c r="H83" s="346">
        <v>0.97687999999999997</v>
      </c>
      <c r="J83" s="123"/>
    </row>
    <row r="84" spans="1:10" x14ac:dyDescent="0.2">
      <c r="A84" s="94" t="s">
        <v>431</v>
      </c>
      <c r="B84" s="105">
        <f>+B27+B44+B57+B66+B80</f>
        <v>17</v>
      </c>
      <c r="C84" s="105">
        <f>+C27+C44+C57+C66+C80</f>
        <v>76</v>
      </c>
      <c r="D84" s="194">
        <f>+D27+D44+D57+D66+D80</f>
        <v>101</v>
      </c>
      <c r="E84" s="105">
        <f t="shared" si="1"/>
        <v>194</v>
      </c>
      <c r="F84" s="281">
        <f>+F27+F44+F57+F66+F80</f>
        <v>71113.904524804209</v>
      </c>
      <c r="G84" s="178">
        <f>+G27+G44+G57+G66+G80</f>
        <v>14776.504489097775</v>
      </c>
      <c r="H84" s="178">
        <f>+H27+H44+H57+H66+H80</f>
        <v>320.68320153990476</v>
      </c>
      <c r="I84" s="262"/>
      <c r="J84" s="154"/>
    </row>
    <row r="85" spans="1:10" x14ac:dyDescent="0.2">
      <c r="A85" s="95" t="s">
        <v>432</v>
      </c>
      <c r="B85" s="106">
        <f>B31+B45+B48+B67+B70+B73+B75+B77+B78</f>
        <v>2</v>
      </c>
      <c r="C85" s="106">
        <f>C31+C45+C48+C67+C70+C73+C75+C77+C78</f>
        <v>16</v>
      </c>
      <c r="D85" s="106">
        <f>D31+D45+D48+D67+D70+D73+D75+D77+D78</f>
        <v>8</v>
      </c>
      <c r="E85" s="106">
        <f t="shared" ref="E85:H85" si="9">E31+E45+E48+E67+E70+E73+E75+E77+E78</f>
        <v>26</v>
      </c>
      <c r="F85" s="179">
        <f t="shared" si="9"/>
        <v>17865.379072000007</v>
      </c>
      <c r="G85" s="179">
        <f t="shared" si="9"/>
        <v>734.988564</v>
      </c>
      <c r="H85" s="179">
        <f t="shared" si="9"/>
        <v>18.588355</v>
      </c>
      <c r="J85" s="123"/>
    </row>
    <row r="86" spans="1:10" x14ac:dyDescent="0.2">
      <c r="H86" s="123"/>
      <c r="I86" s="123"/>
    </row>
    <row r="89" spans="1:10" x14ac:dyDescent="0.2">
      <c r="A89" s="109" t="s">
        <v>433</v>
      </c>
      <c r="B89" s="102"/>
    </row>
    <row r="90" spans="1:10" x14ac:dyDescent="0.2">
      <c r="A90" s="101" t="s">
        <v>438</v>
      </c>
      <c r="B90" s="115" t="s">
        <v>440</v>
      </c>
    </row>
    <row r="91" spans="1:10" x14ac:dyDescent="0.2">
      <c r="A91" s="110" t="s">
        <v>436</v>
      </c>
      <c r="B91" s="114">
        <v>16</v>
      </c>
    </row>
    <row r="92" spans="1:10" x14ac:dyDescent="0.2">
      <c r="A92" s="111" t="s">
        <v>298</v>
      </c>
      <c r="B92" s="99">
        <v>2</v>
      </c>
    </row>
    <row r="93" spans="1:10" x14ac:dyDescent="0.2">
      <c r="A93" s="111" t="s">
        <v>650</v>
      </c>
      <c r="B93" s="99">
        <v>3</v>
      </c>
    </row>
    <row r="94" spans="1:10" x14ac:dyDescent="0.2">
      <c r="A94" s="111" t="s">
        <v>434</v>
      </c>
      <c r="B94" s="99">
        <v>24</v>
      </c>
    </row>
    <row r="95" spans="1:10" x14ac:dyDescent="0.2">
      <c r="A95" s="111" t="s">
        <v>628</v>
      </c>
      <c r="B95" s="99">
        <v>4</v>
      </c>
    </row>
    <row r="96" spans="1:10" x14ac:dyDescent="0.2">
      <c r="A96" s="111" t="s">
        <v>620</v>
      </c>
      <c r="B96" s="99">
        <v>15</v>
      </c>
    </row>
    <row r="97" spans="1:2" x14ac:dyDescent="0.2">
      <c r="A97" s="112" t="s">
        <v>415</v>
      </c>
      <c r="B97" s="99">
        <v>17</v>
      </c>
    </row>
    <row r="98" spans="1:2" x14ac:dyDescent="0.2">
      <c r="A98" s="112" t="s">
        <v>749</v>
      </c>
      <c r="B98" s="99">
        <v>12</v>
      </c>
    </row>
    <row r="99" spans="1:2" x14ac:dyDescent="0.2">
      <c r="A99" s="112" t="s">
        <v>405</v>
      </c>
      <c r="B99" s="99">
        <v>4</v>
      </c>
    </row>
    <row r="100" spans="1:2" x14ac:dyDescent="0.2">
      <c r="A100" s="112" t="s">
        <v>675</v>
      </c>
      <c r="B100" s="99">
        <v>3</v>
      </c>
    </row>
    <row r="101" spans="1:2" x14ac:dyDescent="0.2">
      <c r="A101" s="112" t="s">
        <v>92</v>
      </c>
      <c r="B101" s="99">
        <v>2</v>
      </c>
    </row>
    <row r="102" spans="1:2" x14ac:dyDescent="0.2">
      <c r="A102" s="112" t="s">
        <v>648</v>
      </c>
      <c r="B102" s="99">
        <v>9</v>
      </c>
    </row>
    <row r="103" spans="1:2" x14ac:dyDescent="0.2">
      <c r="A103" s="111" t="s">
        <v>27</v>
      </c>
      <c r="B103" s="99">
        <v>17</v>
      </c>
    </row>
    <row r="104" spans="1:2" x14ac:dyDescent="0.2">
      <c r="A104" s="111" t="s">
        <v>94</v>
      </c>
      <c r="B104" s="99">
        <v>13</v>
      </c>
    </row>
    <row r="105" spans="1:2" x14ac:dyDescent="0.2">
      <c r="A105" s="111" t="s">
        <v>328</v>
      </c>
      <c r="B105" s="99">
        <v>29</v>
      </c>
    </row>
    <row r="106" spans="1:2" x14ac:dyDescent="0.2">
      <c r="A106" s="111" t="s">
        <v>437</v>
      </c>
      <c r="B106" s="99">
        <v>1</v>
      </c>
    </row>
    <row r="107" spans="1:2" x14ac:dyDescent="0.2">
      <c r="A107" s="111" t="s">
        <v>608</v>
      </c>
      <c r="B107" s="99">
        <v>13</v>
      </c>
    </row>
    <row r="108" spans="1:2" x14ac:dyDescent="0.2">
      <c r="A108" s="111" t="s">
        <v>95</v>
      </c>
      <c r="B108" s="99">
        <v>7</v>
      </c>
    </row>
    <row r="109" spans="1:2" x14ac:dyDescent="0.2">
      <c r="A109" s="113" t="s">
        <v>435</v>
      </c>
      <c r="B109" s="100">
        <v>3</v>
      </c>
    </row>
    <row r="110" spans="1:2" x14ac:dyDescent="0.2">
      <c r="A110" s="102" t="s">
        <v>431</v>
      </c>
      <c r="B110" s="106">
        <f>SUM(B91:B109)</f>
        <v>194</v>
      </c>
    </row>
    <row r="113" spans="1:7" x14ac:dyDescent="0.2">
      <c r="A113" s="243" t="s">
        <v>864</v>
      </c>
      <c r="B113" s="244"/>
      <c r="C113" s="109" t="s">
        <v>866</v>
      </c>
      <c r="D113" s="107" t="s">
        <v>865</v>
      </c>
    </row>
    <row r="114" spans="1:7" s="65" customFormat="1" ht="12.75" customHeight="1" x14ac:dyDescent="0.2">
      <c r="A114" s="539" t="s">
        <v>818</v>
      </c>
      <c r="B114" s="540"/>
      <c r="C114" s="240" t="s">
        <v>819</v>
      </c>
      <c r="D114" s="242">
        <f>+Support!Q13</f>
        <v>0.96</v>
      </c>
    </row>
    <row r="115" spans="1:7" s="65" customFormat="1" ht="12.75" customHeight="1" x14ac:dyDescent="0.2">
      <c r="A115" s="238" t="s">
        <v>664</v>
      </c>
      <c r="B115" s="239"/>
      <c r="C115" s="240" t="s">
        <v>867</v>
      </c>
      <c r="D115" s="242">
        <f>+Support!Q6</f>
        <v>145.04945042857145</v>
      </c>
    </row>
    <row r="116" spans="1:7" s="65" customFormat="1" ht="12.75" customHeight="1" x14ac:dyDescent="0.2">
      <c r="A116" s="238" t="s">
        <v>2035</v>
      </c>
      <c r="B116" s="239"/>
      <c r="C116" s="240" t="s">
        <v>1411</v>
      </c>
      <c r="D116" s="242">
        <v>1</v>
      </c>
    </row>
    <row r="117" spans="1:7" s="65" customFormat="1" ht="25.5" customHeight="1" x14ac:dyDescent="0.2">
      <c r="A117" s="541" t="s">
        <v>789</v>
      </c>
      <c r="B117" s="542"/>
      <c r="C117" s="241" t="s">
        <v>733</v>
      </c>
      <c r="D117" s="242">
        <f>+Support!Q12</f>
        <v>1.9404920000000001</v>
      </c>
    </row>
    <row r="118" spans="1:7" s="65" customFormat="1" ht="12.75" customHeight="1" x14ac:dyDescent="0.2">
      <c r="A118" s="238" t="s">
        <v>897</v>
      </c>
      <c r="B118" s="239"/>
      <c r="C118" s="241" t="s">
        <v>106</v>
      </c>
      <c r="D118" s="242">
        <f>+Support!Q15</f>
        <v>0</v>
      </c>
    </row>
    <row r="119" spans="1:7" s="65" customFormat="1" ht="12.75" customHeight="1" x14ac:dyDescent="0.2">
      <c r="A119" s="238" t="s">
        <v>1350</v>
      </c>
      <c r="B119" s="239"/>
      <c r="C119" s="241" t="s">
        <v>1411</v>
      </c>
      <c r="D119" s="242">
        <f>+Support!Q18</f>
        <v>0.28100000000000003</v>
      </c>
    </row>
    <row r="120" spans="1:7" s="65" customFormat="1" ht="12.75" customHeight="1" x14ac:dyDescent="0.2">
      <c r="A120" s="238" t="s">
        <v>686</v>
      </c>
      <c r="B120" s="239"/>
      <c r="C120" s="241" t="s">
        <v>665</v>
      </c>
      <c r="D120" s="242">
        <f>+Support!Q7</f>
        <v>15.029911</v>
      </c>
    </row>
    <row r="121" spans="1:7" s="65" customFormat="1" ht="12.75" customHeight="1" x14ac:dyDescent="0.2">
      <c r="A121" s="245" t="s">
        <v>431</v>
      </c>
      <c r="B121" s="246"/>
      <c r="C121" s="247"/>
      <c r="D121" s="248">
        <f>SUM(D114:D120)</f>
        <v>164.26085342857147</v>
      </c>
      <c r="E121" s="378" t="s">
        <v>1727</v>
      </c>
      <c r="F121" s="380">
        <f>+D121/G84</f>
        <v>1.1116353908311973E-2</v>
      </c>
      <c r="G121" s="379" t="s">
        <v>1728</v>
      </c>
    </row>
    <row r="122" spans="1:7" s="65" customFormat="1" ht="12.75" customHeight="1" x14ac:dyDescent="0.2">
      <c r="C122" s="237"/>
      <c r="D122" s="237"/>
    </row>
    <row r="123" spans="1:7" s="65" customFormat="1" ht="12.75" customHeight="1" x14ac:dyDescent="0.2">
      <c r="C123" s="237"/>
      <c r="D123" s="237"/>
    </row>
    <row r="124" spans="1:7" s="65" customFormat="1" ht="12.75" customHeight="1" x14ac:dyDescent="0.2"/>
  </sheetData>
  <sortState xmlns:xlrd2="http://schemas.microsoft.com/office/spreadsheetml/2017/richdata2" ref="A46:J52">
    <sortCondition ref="A46:A52"/>
  </sortState>
  <mergeCells count="3">
    <mergeCell ref="C25:D25"/>
    <mergeCell ref="A114:B114"/>
    <mergeCell ref="A117:B117"/>
  </mergeCells>
  <pageMargins left="0.7" right="0.7" top="0.75" bottom="0.75" header="0.3" footer="0.3"/>
  <pageSetup paperSize="9" orientation="portrait"/>
  <ignoredErrors>
    <ignoredError sqref="E84 E27:E28 E54 E50 E66 E46:E47 E38 E32:E33 E57 E43:E44" formula="1"/>
  </ignoredErrors>
  <drawing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8">
    <pageSetUpPr fitToPage="1"/>
  </sheetPr>
  <dimension ref="A1:E88"/>
  <sheetViews>
    <sheetView zoomScale="110" zoomScaleNormal="110" workbookViewId="0">
      <pane xSplit="1" ySplit="1" topLeftCell="B2" activePane="bottomRight" state="frozen"/>
      <selection pane="topRight" activeCell="C1" sqref="C1"/>
      <selection pane="bottomLeft" activeCell="A2" sqref="A2"/>
      <selection pane="bottomRight" activeCell="C7" sqref="C7"/>
    </sheetView>
  </sheetViews>
  <sheetFormatPr defaultColWidth="9.140625" defaultRowHeight="11.25" x14ac:dyDescent="0.2"/>
  <cols>
    <col min="1" max="2" width="21.85546875" style="445" customWidth="1"/>
    <col min="3" max="3" width="70.42578125" style="445" customWidth="1"/>
    <col min="4" max="4" width="36.42578125" style="445" customWidth="1"/>
    <col min="5" max="5" width="48.28515625" style="445" customWidth="1"/>
    <col min="6" max="16384" width="9.140625" style="445"/>
  </cols>
  <sheetData>
    <row r="1" spans="1:5" s="410" customFormat="1" ht="15" customHeight="1" thickBot="1" x14ac:dyDescent="0.25">
      <c r="A1" s="406" t="s">
        <v>1851</v>
      </c>
      <c r="B1" s="407" t="s">
        <v>1852</v>
      </c>
      <c r="C1" s="406" t="s">
        <v>1853</v>
      </c>
      <c r="D1" s="408" t="s">
        <v>1854</v>
      </c>
      <c r="E1" s="409" t="s">
        <v>1855</v>
      </c>
    </row>
    <row r="2" spans="1:5" s="415" customFormat="1" ht="15" customHeight="1" x14ac:dyDescent="0.2">
      <c r="A2" s="545" t="s">
        <v>1856</v>
      </c>
      <c r="B2" s="411" t="s">
        <v>1857</v>
      </c>
      <c r="C2" s="412" t="s">
        <v>1858</v>
      </c>
      <c r="D2" s="413"/>
      <c r="E2" s="414" t="s">
        <v>1859</v>
      </c>
    </row>
    <row r="3" spans="1:5" s="415" customFormat="1" ht="15" customHeight="1" x14ac:dyDescent="0.2">
      <c r="A3" s="546"/>
      <c r="B3" s="416"/>
      <c r="C3" s="417" t="s">
        <v>1860</v>
      </c>
      <c r="D3" s="418"/>
      <c r="E3" s="419" t="s">
        <v>1861</v>
      </c>
    </row>
    <row r="4" spans="1:5" s="415" customFormat="1" ht="15" customHeight="1" x14ac:dyDescent="0.2">
      <c r="A4" s="546"/>
      <c r="B4" s="416"/>
      <c r="C4" s="420" t="s">
        <v>1862</v>
      </c>
      <c r="D4" s="418"/>
      <c r="E4" s="419"/>
    </row>
    <row r="5" spans="1:5" s="415" customFormat="1" ht="15" customHeight="1" x14ac:dyDescent="0.2">
      <c r="A5" s="546"/>
      <c r="B5" s="416"/>
      <c r="C5" s="421" t="s">
        <v>1863</v>
      </c>
      <c r="D5" s="418"/>
      <c r="E5" s="419"/>
    </row>
    <row r="6" spans="1:5" s="415" customFormat="1" ht="15" customHeight="1" x14ac:dyDescent="0.2">
      <c r="A6" s="546"/>
      <c r="B6" s="416" t="s">
        <v>1864</v>
      </c>
      <c r="C6" s="420" t="s">
        <v>1865</v>
      </c>
      <c r="D6" s="418"/>
      <c r="E6" s="419"/>
    </row>
    <row r="7" spans="1:5" s="415" customFormat="1" ht="15" customHeight="1" x14ac:dyDescent="0.2">
      <c r="A7" s="546"/>
      <c r="B7" s="416"/>
      <c r="C7" s="422" t="s">
        <v>1866</v>
      </c>
      <c r="D7" s="418"/>
      <c r="E7" s="419"/>
    </row>
    <row r="8" spans="1:5" s="415" customFormat="1" ht="15" customHeight="1" x14ac:dyDescent="0.2">
      <c r="A8" s="546"/>
      <c r="B8" s="416"/>
      <c r="C8" s="422" t="s">
        <v>1867</v>
      </c>
      <c r="D8" s="418"/>
      <c r="E8" s="419"/>
    </row>
    <row r="9" spans="1:5" s="415" customFormat="1" ht="15" customHeight="1" x14ac:dyDescent="0.2">
      <c r="A9" s="546"/>
      <c r="B9" s="416" t="s">
        <v>1868</v>
      </c>
      <c r="C9" s="420" t="s">
        <v>1869</v>
      </c>
      <c r="D9" s="418"/>
      <c r="E9" s="419"/>
    </row>
    <row r="10" spans="1:5" s="415" customFormat="1" ht="15" customHeight="1" thickBot="1" x14ac:dyDescent="0.25">
      <c r="A10" s="547"/>
      <c r="B10" s="416"/>
      <c r="C10" s="420" t="s">
        <v>1870</v>
      </c>
      <c r="D10" s="423"/>
      <c r="E10" s="424"/>
    </row>
    <row r="11" spans="1:5" s="415" customFormat="1" ht="15" customHeight="1" x14ac:dyDescent="0.2">
      <c r="A11" s="425" t="s">
        <v>1871</v>
      </c>
      <c r="B11" s="426" t="s">
        <v>1872</v>
      </c>
      <c r="C11" s="427" t="s">
        <v>1873</v>
      </c>
      <c r="D11" s="428"/>
    </row>
    <row r="12" spans="1:5" s="415" customFormat="1" ht="15" customHeight="1" x14ac:dyDescent="0.2">
      <c r="A12" s="548"/>
      <c r="B12" s="429"/>
      <c r="C12" s="419" t="s">
        <v>1874</v>
      </c>
      <c r="D12" s="430"/>
    </row>
    <row r="13" spans="1:5" s="415" customFormat="1" ht="15" customHeight="1" x14ac:dyDescent="0.2">
      <c r="A13" s="548"/>
      <c r="B13" s="429" t="s">
        <v>1875</v>
      </c>
      <c r="C13" s="417" t="s">
        <v>1876</v>
      </c>
      <c r="D13" s="430"/>
    </row>
    <row r="14" spans="1:5" s="415" customFormat="1" ht="15" customHeight="1" x14ac:dyDescent="0.2">
      <c r="A14" s="548"/>
      <c r="B14" s="429"/>
      <c r="C14" s="417" t="s">
        <v>1877</v>
      </c>
      <c r="D14" s="430"/>
    </row>
    <row r="15" spans="1:5" s="415" customFormat="1" ht="15" customHeight="1" x14ac:dyDescent="0.2">
      <c r="A15" s="548"/>
      <c r="B15" s="429"/>
      <c r="C15" s="419" t="s">
        <v>1878</v>
      </c>
      <c r="D15" s="430"/>
    </row>
    <row r="16" spans="1:5" s="415" customFormat="1" ht="15" customHeight="1" x14ac:dyDescent="0.2">
      <c r="A16" s="548"/>
      <c r="B16" s="429" t="s">
        <v>1879</v>
      </c>
      <c r="C16" s="419" t="s">
        <v>1880</v>
      </c>
      <c r="D16" s="431"/>
    </row>
    <row r="17" spans="1:4" s="415" customFormat="1" ht="15" customHeight="1" x14ac:dyDescent="0.2">
      <c r="A17" s="548"/>
      <c r="B17" s="429"/>
      <c r="C17" s="419" t="s">
        <v>1881</v>
      </c>
      <c r="D17" s="431"/>
    </row>
    <row r="18" spans="1:4" s="415" customFormat="1" ht="15" customHeight="1" x14ac:dyDescent="0.2">
      <c r="A18" s="548"/>
      <c r="B18" s="429"/>
      <c r="C18" s="419" t="s">
        <v>1882</v>
      </c>
      <c r="D18" s="431"/>
    </row>
    <row r="19" spans="1:4" s="415" customFormat="1" ht="15" customHeight="1" x14ac:dyDescent="0.2">
      <c r="A19" s="548"/>
      <c r="B19" s="429" t="s">
        <v>1883</v>
      </c>
      <c r="C19" s="419" t="s">
        <v>1884</v>
      </c>
      <c r="D19" s="431"/>
    </row>
    <row r="20" spans="1:4" s="415" customFormat="1" ht="15" customHeight="1" x14ac:dyDescent="0.2">
      <c r="A20" s="548"/>
      <c r="B20" s="429"/>
      <c r="C20" s="432" t="s">
        <v>1885</v>
      </c>
      <c r="D20" s="431"/>
    </row>
    <row r="21" spans="1:4" s="415" customFormat="1" ht="15" customHeight="1" thickBot="1" x14ac:dyDescent="0.25">
      <c r="A21" s="548"/>
      <c r="B21" s="433"/>
      <c r="C21" s="424" t="s">
        <v>1870</v>
      </c>
      <c r="D21" s="431"/>
    </row>
    <row r="22" spans="1:4" s="415" customFormat="1" ht="15" customHeight="1" x14ac:dyDescent="0.2">
      <c r="A22" s="425" t="s">
        <v>1886</v>
      </c>
      <c r="B22" s="426" t="s">
        <v>1887</v>
      </c>
      <c r="C22" s="434" t="s">
        <v>1888</v>
      </c>
      <c r="D22" s="428"/>
    </row>
    <row r="23" spans="1:4" s="415" customFormat="1" ht="15" customHeight="1" x14ac:dyDescent="0.2">
      <c r="A23" s="435"/>
      <c r="B23" s="436"/>
      <c r="C23" s="437" t="s">
        <v>1889</v>
      </c>
      <c r="D23" s="438"/>
    </row>
    <row r="24" spans="1:4" s="415" customFormat="1" ht="15" customHeight="1" x14ac:dyDescent="0.2">
      <c r="A24" s="435"/>
      <c r="B24" s="436"/>
      <c r="C24" s="417" t="s">
        <v>1890</v>
      </c>
      <c r="D24" s="438"/>
    </row>
    <row r="25" spans="1:4" s="415" customFormat="1" ht="15" customHeight="1" x14ac:dyDescent="0.2">
      <c r="A25" s="439"/>
      <c r="B25" s="436"/>
      <c r="C25" s="417" t="s">
        <v>1891</v>
      </c>
      <c r="D25" s="430"/>
    </row>
    <row r="26" spans="1:4" s="415" customFormat="1" ht="15" customHeight="1" x14ac:dyDescent="0.2">
      <c r="A26" s="439"/>
      <c r="B26" s="436"/>
      <c r="C26" s="421" t="s">
        <v>1892</v>
      </c>
      <c r="D26" s="430"/>
    </row>
    <row r="27" spans="1:4" s="415" customFormat="1" ht="15" customHeight="1" x14ac:dyDescent="0.2">
      <c r="A27" s="439"/>
      <c r="B27" s="436" t="s">
        <v>1893</v>
      </c>
      <c r="C27" s="421" t="s">
        <v>1894</v>
      </c>
      <c r="D27" s="430"/>
    </row>
    <row r="28" spans="1:4" s="415" customFormat="1" ht="15" customHeight="1" x14ac:dyDescent="0.2">
      <c r="A28" s="439"/>
      <c r="B28" s="436"/>
      <c r="C28" s="421" t="s">
        <v>1895</v>
      </c>
      <c r="D28" s="430"/>
    </row>
    <row r="29" spans="1:4" s="415" customFormat="1" ht="15" customHeight="1" x14ac:dyDescent="0.2">
      <c r="A29" s="439"/>
      <c r="B29" s="436"/>
      <c r="C29" s="421" t="s">
        <v>1896</v>
      </c>
      <c r="D29" s="430"/>
    </row>
    <row r="30" spans="1:4" s="415" customFormat="1" ht="15" customHeight="1" x14ac:dyDescent="0.2">
      <c r="A30" s="439"/>
      <c r="B30" s="436" t="s">
        <v>1897</v>
      </c>
      <c r="C30" s="417" t="s">
        <v>1898</v>
      </c>
      <c r="D30" s="430"/>
    </row>
    <row r="31" spans="1:4" s="415" customFormat="1" ht="15" customHeight="1" x14ac:dyDescent="0.2">
      <c r="A31" s="439"/>
      <c r="B31" s="440"/>
      <c r="C31" s="421" t="s">
        <v>1899</v>
      </c>
      <c r="D31" s="430"/>
    </row>
    <row r="32" spans="1:4" s="415" customFormat="1" ht="15" customHeight="1" x14ac:dyDescent="0.2">
      <c r="A32" s="439"/>
      <c r="B32" s="440"/>
      <c r="C32" s="421" t="s">
        <v>1900</v>
      </c>
      <c r="D32" s="430"/>
    </row>
    <row r="33" spans="1:4" s="415" customFormat="1" ht="15" customHeight="1" x14ac:dyDescent="0.2">
      <c r="A33" s="439"/>
      <c r="B33" s="436" t="s">
        <v>1901</v>
      </c>
      <c r="C33" s="421" t="s">
        <v>1902</v>
      </c>
      <c r="D33" s="430"/>
    </row>
    <row r="34" spans="1:4" s="415" customFormat="1" ht="15" customHeight="1" x14ac:dyDescent="0.2">
      <c r="A34" s="439"/>
      <c r="B34" s="436"/>
      <c r="C34" s="417" t="s">
        <v>1903</v>
      </c>
      <c r="D34" s="430"/>
    </row>
    <row r="35" spans="1:4" ht="15" customHeight="1" thickBot="1" x14ac:dyDescent="0.25">
      <c r="A35" s="441"/>
      <c r="B35" s="442"/>
      <c r="C35" s="443" t="s">
        <v>1870</v>
      </c>
      <c r="D35" s="444"/>
    </row>
    <row r="36" spans="1:4" ht="15" customHeight="1" x14ac:dyDescent="0.2">
      <c r="A36" s="446" t="s">
        <v>1904</v>
      </c>
      <c r="B36" s="447" t="s">
        <v>1905</v>
      </c>
      <c r="C36" s="448" t="s">
        <v>1906</v>
      </c>
      <c r="D36" s="449"/>
    </row>
    <row r="37" spans="1:4" ht="15" customHeight="1" x14ac:dyDescent="0.2">
      <c r="A37" s="450"/>
      <c r="B37" s="451"/>
      <c r="C37" s="417" t="s">
        <v>1907</v>
      </c>
      <c r="D37" s="452"/>
    </row>
    <row r="38" spans="1:4" ht="15" customHeight="1" x14ac:dyDescent="0.2">
      <c r="A38" s="450"/>
      <c r="B38" s="451"/>
      <c r="C38" s="417" t="s">
        <v>1908</v>
      </c>
      <c r="D38" s="452"/>
    </row>
    <row r="39" spans="1:4" ht="15" customHeight="1" x14ac:dyDescent="0.2">
      <c r="A39" s="450"/>
      <c r="B39" s="451" t="s">
        <v>1909</v>
      </c>
      <c r="C39" s="421" t="s">
        <v>1910</v>
      </c>
      <c r="D39" s="452"/>
    </row>
    <row r="40" spans="1:4" ht="15" customHeight="1" x14ac:dyDescent="0.2">
      <c r="A40" s="450"/>
      <c r="B40" s="451"/>
      <c r="C40" s="417" t="s">
        <v>1911</v>
      </c>
      <c r="D40" s="452"/>
    </row>
    <row r="41" spans="1:4" ht="15" customHeight="1" x14ac:dyDescent="0.2">
      <c r="A41" s="450"/>
      <c r="B41" s="451"/>
      <c r="C41" s="417" t="s">
        <v>1912</v>
      </c>
      <c r="D41" s="452"/>
    </row>
    <row r="42" spans="1:4" ht="15" customHeight="1" x14ac:dyDescent="0.2">
      <c r="A42" s="450"/>
      <c r="B42" s="451"/>
      <c r="C42" s="421" t="s">
        <v>1913</v>
      </c>
      <c r="D42" s="452"/>
    </row>
    <row r="43" spans="1:4" ht="15" customHeight="1" x14ac:dyDescent="0.2">
      <c r="A43" s="450"/>
      <c r="B43" s="451"/>
      <c r="C43" s="417" t="s">
        <v>1914</v>
      </c>
      <c r="D43" s="452"/>
    </row>
    <row r="44" spans="1:4" ht="15" customHeight="1" x14ac:dyDescent="0.2">
      <c r="A44" s="450"/>
      <c r="B44" s="451"/>
      <c r="C44" s="421" t="s">
        <v>1915</v>
      </c>
      <c r="D44" s="452"/>
    </row>
    <row r="45" spans="1:4" ht="15" customHeight="1" x14ac:dyDescent="0.2">
      <c r="A45" s="450"/>
      <c r="B45" s="451"/>
      <c r="C45" s="417" t="s">
        <v>1916</v>
      </c>
      <c r="D45" s="452"/>
    </row>
    <row r="46" spans="1:4" ht="15" customHeight="1" x14ac:dyDescent="0.2">
      <c r="A46" s="450"/>
      <c r="B46" s="451" t="s">
        <v>1917</v>
      </c>
      <c r="C46" s="421" t="s">
        <v>1918</v>
      </c>
      <c r="D46" s="452"/>
    </row>
    <row r="47" spans="1:4" ht="15" customHeight="1" x14ac:dyDescent="0.2">
      <c r="A47" s="450"/>
      <c r="B47" s="451"/>
      <c r="C47" s="417" t="s">
        <v>1919</v>
      </c>
      <c r="D47" s="452"/>
    </row>
    <row r="48" spans="1:4" ht="15" customHeight="1" x14ac:dyDescent="0.2">
      <c r="A48" s="450"/>
      <c r="B48" s="451"/>
      <c r="C48" s="417" t="s">
        <v>1920</v>
      </c>
      <c r="D48" s="452"/>
    </row>
    <row r="49" spans="1:4" ht="15" customHeight="1" x14ac:dyDescent="0.2">
      <c r="A49" s="450"/>
      <c r="B49" s="451"/>
      <c r="C49" s="417" t="s">
        <v>1921</v>
      </c>
      <c r="D49" s="452"/>
    </row>
    <row r="50" spans="1:4" ht="15" customHeight="1" x14ac:dyDescent="0.2">
      <c r="A50" s="450"/>
      <c r="B50" s="451"/>
      <c r="C50" s="417" t="s">
        <v>1922</v>
      </c>
      <c r="D50" s="452"/>
    </row>
    <row r="51" spans="1:4" ht="15" customHeight="1" x14ac:dyDescent="0.2">
      <c r="A51" s="450"/>
      <c r="B51" s="451" t="s">
        <v>1923</v>
      </c>
      <c r="C51" s="417" t="s">
        <v>1924</v>
      </c>
      <c r="D51" s="452"/>
    </row>
    <row r="52" spans="1:4" ht="15" customHeight="1" x14ac:dyDescent="0.2">
      <c r="A52" s="450"/>
      <c r="B52" s="451"/>
      <c r="C52" s="417" t="s">
        <v>1925</v>
      </c>
      <c r="D52" s="452"/>
    </row>
    <row r="53" spans="1:4" ht="15" customHeight="1" thickBot="1" x14ac:dyDescent="0.25">
      <c r="A53" s="453"/>
      <c r="B53" s="454"/>
      <c r="C53" s="455" t="s">
        <v>1926</v>
      </c>
      <c r="D53" s="456"/>
    </row>
    <row r="54" spans="1:4" ht="15" customHeight="1" x14ac:dyDescent="0.2">
      <c r="A54" s="457" t="s">
        <v>1927</v>
      </c>
      <c r="B54" s="446"/>
      <c r="C54" s="449" t="s">
        <v>1928</v>
      </c>
      <c r="D54" s="458"/>
    </row>
    <row r="55" spans="1:4" ht="15" customHeight="1" x14ac:dyDescent="0.2">
      <c r="A55" s="549" t="s">
        <v>1929</v>
      </c>
      <c r="B55" s="459"/>
      <c r="C55" s="460" t="s">
        <v>1930</v>
      </c>
      <c r="D55" s="461"/>
    </row>
    <row r="56" spans="1:4" ht="15" customHeight="1" x14ac:dyDescent="0.2">
      <c r="A56" s="549"/>
      <c r="B56" s="459"/>
      <c r="C56" s="460" t="s">
        <v>1931</v>
      </c>
      <c r="D56" s="461"/>
    </row>
    <row r="57" spans="1:4" ht="15" customHeight="1" thickBot="1" x14ac:dyDescent="0.25">
      <c r="A57" s="549"/>
      <c r="B57" s="459"/>
      <c r="C57" s="462" t="s">
        <v>1932</v>
      </c>
      <c r="D57" s="461"/>
    </row>
    <row r="58" spans="1:4" ht="15" customHeight="1" x14ac:dyDescent="0.2">
      <c r="A58" s="457" t="s">
        <v>1933</v>
      </c>
      <c r="B58" s="446"/>
      <c r="C58" s="449" t="s">
        <v>1934</v>
      </c>
      <c r="D58" s="458"/>
    </row>
    <row r="59" spans="1:4" ht="15" customHeight="1" x14ac:dyDescent="0.2">
      <c r="A59" s="549" t="s">
        <v>1935</v>
      </c>
      <c r="B59" s="459"/>
      <c r="C59" s="460" t="s">
        <v>1936</v>
      </c>
      <c r="D59" s="461"/>
    </row>
    <row r="60" spans="1:4" ht="15" customHeight="1" x14ac:dyDescent="0.2">
      <c r="A60" s="549"/>
      <c r="B60" s="459"/>
      <c r="C60" s="460" t="s">
        <v>1937</v>
      </c>
      <c r="D60" s="461"/>
    </row>
    <row r="61" spans="1:4" ht="15" customHeight="1" x14ac:dyDescent="0.2">
      <c r="A61" s="549"/>
      <c r="B61" s="459"/>
      <c r="C61" s="460" t="s">
        <v>1938</v>
      </c>
      <c r="D61" s="461"/>
    </row>
    <row r="62" spans="1:4" ht="15" customHeight="1" x14ac:dyDescent="0.2">
      <c r="A62" s="549"/>
      <c r="B62" s="459"/>
      <c r="C62" s="460" t="s">
        <v>1939</v>
      </c>
      <c r="D62" s="461"/>
    </row>
    <row r="63" spans="1:4" ht="15" customHeight="1" x14ac:dyDescent="0.2">
      <c r="A63" s="549"/>
      <c r="B63" s="459"/>
      <c r="C63" s="460" t="s">
        <v>1940</v>
      </c>
      <c r="D63" s="461"/>
    </row>
    <row r="64" spans="1:4" ht="15" customHeight="1" x14ac:dyDescent="0.2">
      <c r="A64" s="549"/>
      <c r="B64" s="459"/>
      <c r="C64" s="460" t="s">
        <v>1941</v>
      </c>
      <c r="D64" s="444"/>
    </row>
    <row r="65" spans="1:4" ht="15" customHeight="1" x14ac:dyDescent="0.2">
      <c r="A65" s="549"/>
      <c r="B65" s="459"/>
      <c r="C65" s="460" t="s">
        <v>1942</v>
      </c>
      <c r="D65" s="444"/>
    </row>
    <row r="66" spans="1:4" ht="15" customHeight="1" x14ac:dyDescent="0.2">
      <c r="A66" s="549"/>
      <c r="B66" s="459"/>
      <c r="C66" s="460" t="s">
        <v>1943</v>
      </c>
      <c r="D66" s="444"/>
    </row>
    <row r="67" spans="1:4" ht="15" customHeight="1" thickBot="1" x14ac:dyDescent="0.25">
      <c r="A67" s="549"/>
      <c r="B67" s="459"/>
      <c r="C67" s="463" t="s">
        <v>1944</v>
      </c>
      <c r="D67" s="444"/>
    </row>
    <row r="68" spans="1:4" ht="15" customHeight="1" x14ac:dyDescent="0.2">
      <c r="A68" s="457" t="s">
        <v>1945</v>
      </c>
      <c r="B68" s="446"/>
      <c r="C68" s="449" t="s">
        <v>1946</v>
      </c>
      <c r="D68" s="458"/>
    </row>
    <row r="69" spans="1:4" ht="15" customHeight="1" x14ac:dyDescent="0.2">
      <c r="A69" s="549" t="s">
        <v>1947</v>
      </c>
      <c r="B69" s="459"/>
      <c r="C69" s="460" t="s">
        <v>1948</v>
      </c>
      <c r="D69" s="461"/>
    </row>
    <row r="70" spans="1:4" ht="15" customHeight="1" x14ac:dyDescent="0.2">
      <c r="A70" s="549"/>
      <c r="B70" s="459"/>
      <c r="C70" s="460" t="s">
        <v>1949</v>
      </c>
      <c r="D70" s="461"/>
    </row>
    <row r="71" spans="1:4" ht="15" customHeight="1" x14ac:dyDescent="0.2">
      <c r="A71" s="549"/>
      <c r="B71" s="459"/>
      <c r="C71" s="460" t="s">
        <v>1950</v>
      </c>
      <c r="D71" s="461"/>
    </row>
    <row r="72" spans="1:4" ht="15" customHeight="1" x14ac:dyDescent="0.2">
      <c r="A72" s="549"/>
      <c r="B72" s="459"/>
      <c r="C72" s="460" t="s">
        <v>1951</v>
      </c>
      <c r="D72" s="461"/>
    </row>
    <row r="73" spans="1:4" ht="15" customHeight="1" x14ac:dyDescent="0.2">
      <c r="A73" s="549"/>
      <c r="B73" s="459"/>
      <c r="C73" s="460" t="s">
        <v>1952</v>
      </c>
      <c r="D73" s="444"/>
    </row>
    <row r="74" spans="1:4" ht="15" customHeight="1" x14ac:dyDescent="0.2">
      <c r="A74" s="549"/>
      <c r="B74" s="459"/>
      <c r="C74" s="460" t="s">
        <v>1953</v>
      </c>
      <c r="D74" s="444"/>
    </row>
    <row r="75" spans="1:4" ht="15" customHeight="1" x14ac:dyDescent="0.2">
      <c r="A75" s="549"/>
      <c r="B75" s="459"/>
      <c r="C75" s="460" t="s">
        <v>1954</v>
      </c>
      <c r="D75" s="444"/>
    </row>
    <row r="76" spans="1:4" ht="15" customHeight="1" x14ac:dyDescent="0.2">
      <c r="A76" s="549"/>
      <c r="B76" s="459"/>
      <c r="C76" s="460" t="s">
        <v>1955</v>
      </c>
      <c r="D76" s="444"/>
    </row>
    <row r="77" spans="1:4" ht="15" customHeight="1" x14ac:dyDescent="0.2">
      <c r="A77" s="549"/>
      <c r="B77" s="459"/>
      <c r="C77" s="460" t="s">
        <v>1956</v>
      </c>
      <c r="D77" s="444"/>
    </row>
    <row r="78" spans="1:4" ht="15" customHeight="1" x14ac:dyDescent="0.2">
      <c r="A78" s="549"/>
      <c r="B78" s="459"/>
      <c r="C78" s="460" t="s">
        <v>1957</v>
      </c>
      <c r="D78" s="444"/>
    </row>
    <row r="79" spans="1:4" ht="15" customHeight="1" x14ac:dyDescent="0.2">
      <c r="A79" s="549"/>
      <c r="B79" s="459"/>
      <c r="C79" s="460" t="s">
        <v>1958</v>
      </c>
      <c r="D79" s="444"/>
    </row>
    <row r="80" spans="1:4" ht="15" customHeight="1" thickBot="1" x14ac:dyDescent="0.25">
      <c r="A80" s="549"/>
      <c r="B80" s="459"/>
      <c r="C80" s="463" t="s">
        <v>1959</v>
      </c>
      <c r="D80" s="444"/>
    </row>
    <row r="81" spans="1:4" ht="15" customHeight="1" x14ac:dyDescent="0.2">
      <c r="A81" s="464" t="s">
        <v>1960</v>
      </c>
      <c r="B81" s="446"/>
      <c r="C81" s="449" t="s">
        <v>1961</v>
      </c>
      <c r="D81" s="458"/>
    </row>
    <row r="82" spans="1:4" ht="15" customHeight="1" x14ac:dyDescent="0.2">
      <c r="A82" s="465"/>
      <c r="B82" s="466"/>
      <c r="C82" s="460" t="s">
        <v>1962</v>
      </c>
      <c r="D82" s="467"/>
    </row>
    <row r="83" spans="1:4" ht="15" customHeight="1" x14ac:dyDescent="0.2">
      <c r="A83" s="465"/>
      <c r="B83" s="466"/>
      <c r="C83" s="441" t="s">
        <v>1963</v>
      </c>
      <c r="D83" s="467"/>
    </row>
    <row r="84" spans="1:4" ht="15" customHeight="1" x14ac:dyDescent="0.2">
      <c r="A84" s="465"/>
      <c r="B84" s="466"/>
      <c r="C84" s="460" t="s">
        <v>1964</v>
      </c>
      <c r="D84" s="467"/>
    </row>
    <row r="85" spans="1:4" ht="15" customHeight="1" x14ac:dyDescent="0.2">
      <c r="A85" s="465"/>
      <c r="B85" s="466"/>
      <c r="C85" s="460" t="s">
        <v>1965</v>
      </c>
      <c r="D85" s="467"/>
    </row>
    <row r="86" spans="1:4" ht="15" customHeight="1" x14ac:dyDescent="0.2">
      <c r="A86" s="465"/>
      <c r="B86" s="466"/>
      <c r="C86" s="460" t="s">
        <v>1966</v>
      </c>
      <c r="D86" s="467"/>
    </row>
    <row r="87" spans="1:4" ht="15" customHeight="1" x14ac:dyDescent="0.2">
      <c r="A87" s="543"/>
      <c r="B87" s="459"/>
      <c r="C87" s="460" t="s">
        <v>1967</v>
      </c>
      <c r="D87" s="461"/>
    </row>
    <row r="88" spans="1:4" ht="15" customHeight="1" thickBot="1" x14ac:dyDescent="0.25">
      <c r="A88" s="544"/>
      <c r="B88" s="468"/>
      <c r="C88" s="462" t="s">
        <v>1959</v>
      </c>
      <c r="D88" s="469"/>
    </row>
  </sheetData>
  <mergeCells count="6">
    <mergeCell ref="A87:A88"/>
    <mergeCell ref="A2:A10"/>
    <mergeCell ref="A12:A21"/>
    <mergeCell ref="A55:A57"/>
    <mergeCell ref="A59:A67"/>
    <mergeCell ref="A69:A80"/>
  </mergeCells>
  <pageMargins left="0.7" right="0.7" top="0.75" bottom="0.75" header="0.3" footer="0.3"/>
  <pageSetup paperSize="9" scale="44" orientation="portrai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111"/>
  <sheetViews>
    <sheetView tabSelected="1" zoomScale="85" zoomScaleNormal="85" workbookViewId="0">
      <pane xSplit="4" ySplit="3" topLeftCell="E93" activePane="bottomRight" state="frozen"/>
      <selection pane="topRight" activeCell="F1" sqref="F1"/>
      <selection pane="bottomLeft" activeCell="A4" sqref="A4"/>
      <selection pane="bottomRight" activeCell="A2" sqref="A2"/>
    </sheetView>
  </sheetViews>
  <sheetFormatPr defaultRowHeight="12.75" x14ac:dyDescent="0.2"/>
  <cols>
    <col min="1" max="1" width="13.28515625" customWidth="1"/>
    <col min="2" max="2" width="21.140625" customWidth="1"/>
    <col min="3" max="3" width="17.28515625" customWidth="1"/>
    <col min="4" max="4" width="23.28515625" customWidth="1"/>
    <col min="5" max="5" width="46.28515625" customWidth="1"/>
    <col min="6" max="6" width="26.28515625" customWidth="1"/>
    <col min="7" max="7" width="28.85546875" customWidth="1"/>
    <col min="8" max="8" width="13.140625" customWidth="1"/>
    <col min="9" max="9" width="54.28515625" customWidth="1"/>
    <col min="10" max="10" width="50.140625" customWidth="1"/>
    <col min="12" max="12" width="24.42578125" customWidth="1"/>
  </cols>
  <sheetData>
    <row r="1" spans="1:10" ht="18" customHeight="1" x14ac:dyDescent="0.2">
      <c r="A1" s="57" t="s">
        <v>2493</v>
      </c>
      <c r="B1" s="53"/>
      <c r="C1" s="53"/>
      <c r="D1" s="51"/>
      <c r="E1" s="3"/>
      <c r="F1" s="3"/>
      <c r="G1" s="4"/>
      <c r="H1" s="7"/>
      <c r="I1" s="7"/>
      <c r="J1" s="6"/>
    </row>
    <row r="2" spans="1:10" ht="18" customHeight="1" x14ac:dyDescent="0.2">
      <c r="A2" s="10"/>
      <c r="B2" s="11"/>
      <c r="C2" s="11"/>
      <c r="D2" s="52"/>
      <c r="E2" s="5"/>
      <c r="F2" s="5"/>
      <c r="G2" s="5"/>
      <c r="H2" s="7"/>
      <c r="I2" s="7"/>
      <c r="J2" s="6"/>
    </row>
    <row r="3" spans="1:10" ht="64.5" customHeight="1" x14ac:dyDescent="0.2">
      <c r="A3" s="12" t="s">
        <v>0</v>
      </c>
      <c r="B3" s="44" t="s">
        <v>2</v>
      </c>
      <c r="C3" s="44" t="s">
        <v>3</v>
      </c>
      <c r="D3" s="44" t="s">
        <v>184</v>
      </c>
      <c r="E3" s="15" t="s">
        <v>308</v>
      </c>
      <c r="F3" s="15" t="s">
        <v>13</v>
      </c>
      <c r="G3" s="14" t="s">
        <v>4</v>
      </c>
      <c r="H3" s="46" t="s">
        <v>270</v>
      </c>
      <c r="I3" s="46" t="s">
        <v>11</v>
      </c>
      <c r="J3" s="15" t="s">
        <v>356</v>
      </c>
    </row>
    <row r="4" spans="1:10" ht="15.95" customHeight="1" x14ac:dyDescent="0.2">
      <c r="A4" s="36" t="s">
        <v>442</v>
      </c>
      <c r="B4" s="39" t="s">
        <v>102</v>
      </c>
      <c r="C4" s="26" t="s">
        <v>104</v>
      </c>
      <c r="D4" s="39" t="s">
        <v>14</v>
      </c>
      <c r="E4" s="43" t="s">
        <v>195</v>
      </c>
      <c r="F4" s="22" t="s">
        <v>245</v>
      </c>
      <c r="G4" s="28" t="s">
        <v>245</v>
      </c>
      <c r="H4" s="40">
        <v>40259</v>
      </c>
      <c r="I4" s="41" t="s">
        <v>15</v>
      </c>
      <c r="J4" s="86"/>
    </row>
    <row r="5" spans="1:10" ht="15.95" customHeight="1" x14ac:dyDescent="0.2">
      <c r="A5" s="20" t="s">
        <v>443</v>
      </c>
      <c r="B5" s="24" t="s">
        <v>105</v>
      </c>
      <c r="C5" s="26" t="s">
        <v>103</v>
      </c>
      <c r="D5" s="24" t="s">
        <v>26</v>
      </c>
      <c r="E5" s="22" t="s">
        <v>41</v>
      </c>
      <c r="F5" s="22" t="s">
        <v>27</v>
      </c>
      <c r="G5" s="28" t="s">
        <v>245</v>
      </c>
      <c r="H5" s="27">
        <v>40246</v>
      </c>
      <c r="I5" s="37" t="s">
        <v>101</v>
      </c>
      <c r="J5" s="23"/>
    </row>
    <row r="6" spans="1:10" ht="15.95" customHeight="1" x14ac:dyDescent="0.2">
      <c r="A6" s="21" t="s">
        <v>444</v>
      </c>
      <c r="B6" s="24" t="s">
        <v>106</v>
      </c>
      <c r="C6" s="26" t="s">
        <v>107</v>
      </c>
      <c r="D6" s="24" t="s">
        <v>28</v>
      </c>
      <c r="E6" s="22" t="s">
        <v>57</v>
      </c>
      <c r="F6" s="22" t="s">
        <v>245</v>
      </c>
      <c r="G6" s="28" t="s">
        <v>245</v>
      </c>
      <c r="H6" s="27">
        <v>40329</v>
      </c>
      <c r="I6" s="37" t="s">
        <v>15</v>
      </c>
      <c r="J6" s="23" t="s">
        <v>29</v>
      </c>
    </row>
    <row r="7" spans="1:10" ht="15.95" customHeight="1" x14ac:dyDescent="0.2">
      <c r="A7" s="21" t="s">
        <v>445</v>
      </c>
      <c r="B7" s="24" t="s">
        <v>109</v>
      </c>
      <c r="C7" s="26" t="s">
        <v>110</v>
      </c>
      <c r="D7" s="24" t="s">
        <v>30</v>
      </c>
      <c r="E7" s="22" t="s">
        <v>204</v>
      </c>
      <c r="F7" s="22" t="s">
        <v>213</v>
      </c>
      <c r="G7" s="28" t="s">
        <v>216</v>
      </c>
      <c r="H7" s="27">
        <v>40210</v>
      </c>
      <c r="I7" s="37" t="s">
        <v>15</v>
      </c>
      <c r="J7" s="23"/>
    </row>
    <row r="8" spans="1:10" ht="15.95" customHeight="1" x14ac:dyDescent="0.2">
      <c r="A8" s="20" t="s">
        <v>446</v>
      </c>
      <c r="B8" s="24" t="s">
        <v>105</v>
      </c>
      <c r="C8" s="26" t="s">
        <v>111</v>
      </c>
      <c r="D8" s="24" t="s">
        <v>31</v>
      </c>
      <c r="E8" s="22" t="s">
        <v>188</v>
      </c>
      <c r="F8" s="22" t="s">
        <v>214</v>
      </c>
      <c r="G8" s="28" t="s">
        <v>215</v>
      </c>
      <c r="H8" s="27">
        <v>40217</v>
      </c>
      <c r="I8" s="37" t="s">
        <v>15</v>
      </c>
      <c r="J8" s="23"/>
    </row>
    <row r="9" spans="1:10" ht="15.95" customHeight="1" x14ac:dyDescent="0.2">
      <c r="A9" s="21" t="s">
        <v>447</v>
      </c>
      <c r="B9" s="24" t="s">
        <v>112</v>
      </c>
      <c r="C9" s="26" t="s">
        <v>113</v>
      </c>
      <c r="D9" s="24" t="s">
        <v>32</v>
      </c>
      <c r="E9" s="22" t="s">
        <v>57</v>
      </c>
      <c r="F9" s="22" t="s">
        <v>16</v>
      </c>
      <c r="G9" s="28" t="s">
        <v>245</v>
      </c>
      <c r="H9" s="27">
        <v>40214</v>
      </c>
      <c r="I9" s="37" t="s">
        <v>15</v>
      </c>
      <c r="J9" s="23" t="s">
        <v>42</v>
      </c>
    </row>
    <row r="10" spans="1:10" ht="15.95" customHeight="1" x14ac:dyDescent="0.2">
      <c r="A10" s="20" t="s">
        <v>448</v>
      </c>
      <c r="B10" s="24" t="s">
        <v>105</v>
      </c>
      <c r="C10" s="26" t="s">
        <v>114</v>
      </c>
      <c r="D10" s="24" t="s">
        <v>33</v>
      </c>
      <c r="E10" s="22" t="s">
        <v>41</v>
      </c>
      <c r="F10" s="22" t="s">
        <v>16</v>
      </c>
      <c r="G10" s="28" t="s">
        <v>239</v>
      </c>
      <c r="H10" s="27">
        <v>40210</v>
      </c>
      <c r="I10" s="37" t="s">
        <v>15</v>
      </c>
      <c r="J10" s="23"/>
    </row>
    <row r="11" spans="1:10" ht="15.95" customHeight="1" x14ac:dyDescent="0.2">
      <c r="A11" s="21" t="s">
        <v>449</v>
      </c>
      <c r="B11" s="24" t="s">
        <v>106</v>
      </c>
      <c r="C11" s="26" t="s">
        <v>108</v>
      </c>
      <c r="D11" s="24" t="s">
        <v>5</v>
      </c>
      <c r="E11" s="22" t="s">
        <v>41</v>
      </c>
      <c r="F11" s="22" t="s">
        <v>240</v>
      </c>
      <c r="G11" s="28" t="s">
        <v>268</v>
      </c>
      <c r="H11" s="27">
        <v>40207</v>
      </c>
      <c r="I11" s="37" t="s">
        <v>15</v>
      </c>
      <c r="J11" s="23" t="s">
        <v>131</v>
      </c>
    </row>
    <row r="12" spans="1:10" ht="15.95" customHeight="1" x14ac:dyDescent="0.2">
      <c r="A12" s="20" t="s">
        <v>450</v>
      </c>
      <c r="B12" s="24" t="s">
        <v>112</v>
      </c>
      <c r="C12" s="26" t="s">
        <v>115</v>
      </c>
      <c r="D12" s="24" t="s">
        <v>43</v>
      </c>
      <c r="E12" s="22" t="s">
        <v>187</v>
      </c>
      <c r="F12" s="22" t="s">
        <v>189</v>
      </c>
      <c r="G12" s="28" t="s">
        <v>120</v>
      </c>
      <c r="H12" s="27">
        <v>40207</v>
      </c>
      <c r="I12" s="37" t="s">
        <v>101</v>
      </c>
      <c r="J12" s="23"/>
    </row>
    <row r="13" spans="1:10" ht="15.95" customHeight="1" x14ac:dyDescent="0.2">
      <c r="A13" s="21" t="s">
        <v>451</v>
      </c>
      <c r="B13" s="24" t="s">
        <v>105</v>
      </c>
      <c r="C13" s="26" t="s">
        <v>116</v>
      </c>
      <c r="D13" s="24" t="s">
        <v>44</v>
      </c>
      <c r="E13" s="22" t="s">
        <v>196</v>
      </c>
      <c r="F13" s="22" t="s">
        <v>217</v>
      </c>
      <c r="G13" s="28" t="s">
        <v>218</v>
      </c>
      <c r="H13" s="27">
        <v>40238</v>
      </c>
      <c r="I13" s="37" t="s">
        <v>15</v>
      </c>
      <c r="J13" s="23"/>
    </row>
    <row r="14" spans="1:10" ht="15.95" customHeight="1" x14ac:dyDescent="0.2">
      <c r="A14" s="20" t="s">
        <v>452</v>
      </c>
      <c r="B14" s="24" t="s">
        <v>105</v>
      </c>
      <c r="C14" s="26" t="s">
        <v>116</v>
      </c>
      <c r="D14" s="24" t="s">
        <v>45</v>
      </c>
      <c r="E14" s="22" t="s">
        <v>205</v>
      </c>
      <c r="F14" s="22" t="s">
        <v>241</v>
      </c>
      <c r="G14" s="28" t="s">
        <v>242</v>
      </c>
      <c r="H14" s="27">
        <v>40406</v>
      </c>
      <c r="I14" s="37" t="s">
        <v>15</v>
      </c>
      <c r="J14" s="23"/>
    </row>
    <row r="15" spans="1:10" ht="15.95" customHeight="1" x14ac:dyDescent="0.2">
      <c r="A15" s="21" t="s">
        <v>453</v>
      </c>
      <c r="B15" s="24" t="s">
        <v>106</v>
      </c>
      <c r="C15" s="26" t="s">
        <v>108</v>
      </c>
      <c r="D15" s="24" t="s">
        <v>46</v>
      </c>
      <c r="E15" s="22" t="s">
        <v>41</v>
      </c>
      <c r="F15" s="22" t="s">
        <v>219</v>
      </c>
      <c r="G15" s="28" t="s">
        <v>245</v>
      </c>
      <c r="H15" s="27">
        <v>40413</v>
      </c>
      <c r="I15" s="37" t="s">
        <v>15</v>
      </c>
      <c r="J15" s="24" t="s">
        <v>100</v>
      </c>
    </row>
    <row r="16" spans="1:10" ht="15.95" customHeight="1" x14ac:dyDescent="0.2">
      <c r="A16" s="20" t="s">
        <v>454</v>
      </c>
      <c r="B16" s="24" t="s">
        <v>112</v>
      </c>
      <c r="C16" s="26" t="s">
        <v>117</v>
      </c>
      <c r="D16" s="24" t="s">
        <v>53</v>
      </c>
      <c r="E16" s="22" t="s">
        <v>202</v>
      </c>
      <c r="F16" s="22" t="s">
        <v>220</v>
      </c>
      <c r="G16" s="28" t="s">
        <v>245</v>
      </c>
      <c r="H16" s="27">
        <v>40206</v>
      </c>
      <c r="I16" s="37" t="s">
        <v>15</v>
      </c>
      <c r="J16" s="23" t="s">
        <v>54</v>
      </c>
    </row>
    <row r="17" spans="1:10" ht="15.95" customHeight="1" x14ac:dyDescent="0.2">
      <c r="A17" s="21" t="s">
        <v>455</v>
      </c>
      <c r="B17" s="24" t="s">
        <v>106</v>
      </c>
      <c r="C17" s="26" t="s">
        <v>108</v>
      </c>
      <c r="D17" s="24" t="s">
        <v>55</v>
      </c>
      <c r="E17" s="22" t="s">
        <v>56</v>
      </c>
      <c r="F17" s="54" t="s">
        <v>221</v>
      </c>
      <c r="G17" s="28" t="s">
        <v>245</v>
      </c>
      <c r="H17" s="27">
        <v>40392</v>
      </c>
      <c r="I17" s="37" t="s">
        <v>15</v>
      </c>
      <c r="J17" s="23" t="s">
        <v>119</v>
      </c>
    </row>
    <row r="18" spans="1:10" ht="15.95" customHeight="1" x14ac:dyDescent="0.2">
      <c r="A18" s="20" t="s">
        <v>456</v>
      </c>
      <c r="B18" s="24" t="s">
        <v>105</v>
      </c>
      <c r="C18" s="26" t="s">
        <v>116</v>
      </c>
      <c r="D18" s="24" t="s">
        <v>118</v>
      </c>
      <c r="E18" s="22" t="s">
        <v>57</v>
      </c>
      <c r="F18" s="22" t="s">
        <v>189</v>
      </c>
      <c r="G18" s="28" t="s">
        <v>120</v>
      </c>
      <c r="H18" s="27">
        <v>40337</v>
      </c>
      <c r="I18" s="37" t="s">
        <v>15</v>
      </c>
      <c r="J18" s="23"/>
    </row>
    <row r="19" spans="1:10" ht="15.95" customHeight="1" x14ac:dyDescent="0.2">
      <c r="A19" s="21" t="s">
        <v>457</v>
      </c>
      <c r="B19" s="24" t="s">
        <v>105</v>
      </c>
      <c r="C19" s="26" t="s">
        <v>116</v>
      </c>
      <c r="D19" s="24" t="s">
        <v>246</v>
      </c>
      <c r="E19" s="22" t="s">
        <v>188</v>
      </c>
      <c r="F19" s="22" t="s">
        <v>223</v>
      </c>
      <c r="G19" s="28" t="s">
        <v>243</v>
      </c>
      <c r="H19" s="27">
        <v>40212</v>
      </c>
      <c r="I19" s="37" t="s">
        <v>15</v>
      </c>
      <c r="J19" s="23"/>
    </row>
    <row r="20" spans="1:10" ht="15.95" customHeight="1" x14ac:dyDescent="0.2">
      <c r="A20" s="20" t="s">
        <v>458</v>
      </c>
      <c r="B20" s="24" t="s">
        <v>106</v>
      </c>
      <c r="C20" s="26" t="s">
        <v>121</v>
      </c>
      <c r="D20" s="24" t="s">
        <v>58</v>
      </c>
      <c r="E20" s="22" t="s">
        <v>57</v>
      </c>
      <c r="F20" s="22" t="s">
        <v>222</v>
      </c>
      <c r="G20" s="28" t="s">
        <v>245</v>
      </c>
      <c r="H20" s="27">
        <v>40207</v>
      </c>
      <c r="I20" s="37" t="s">
        <v>15</v>
      </c>
      <c r="J20" s="23"/>
    </row>
    <row r="21" spans="1:10" ht="15.95" customHeight="1" x14ac:dyDescent="0.2">
      <c r="A21" s="21" t="s">
        <v>459</v>
      </c>
      <c r="B21" s="24" t="s">
        <v>105</v>
      </c>
      <c r="C21" s="26" t="s">
        <v>111</v>
      </c>
      <c r="D21" s="24" t="s">
        <v>247</v>
      </c>
      <c r="E21" s="22" t="s">
        <v>204</v>
      </c>
      <c r="F21" s="22" t="s">
        <v>223</v>
      </c>
      <c r="G21" s="28" t="s">
        <v>244</v>
      </c>
      <c r="H21" s="27">
        <v>40221</v>
      </c>
      <c r="I21" s="37" t="s">
        <v>15</v>
      </c>
      <c r="J21" s="23"/>
    </row>
    <row r="22" spans="1:10" ht="15.95" customHeight="1" x14ac:dyDescent="0.2">
      <c r="A22" s="20" t="s">
        <v>460</v>
      </c>
      <c r="B22" s="24" t="s">
        <v>105</v>
      </c>
      <c r="C22" s="26" t="s">
        <v>122</v>
      </c>
      <c r="D22" s="24" t="s">
        <v>60</v>
      </c>
      <c r="E22" s="22" t="s">
        <v>206</v>
      </c>
      <c r="F22" s="22" t="s">
        <v>224</v>
      </c>
      <c r="G22" s="28" t="s">
        <v>245</v>
      </c>
      <c r="H22" s="27">
        <v>40253</v>
      </c>
      <c r="I22" s="37" t="s">
        <v>15</v>
      </c>
      <c r="J22" s="23"/>
    </row>
    <row r="23" spans="1:10" ht="15.95" customHeight="1" x14ac:dyDescent="0.2">
      <c r="A23" s="21" t="s">
        <v>461</v>
      </c>
      <c r="B23" s="24" t="s">
        <v>105</v>
      </c>
      <c r="C23" s="26" t="s">
        <v>122</v>
      </c>
      <c r="D23" s="24" t="s">
        <v>59</v>
      </c>
      <c r="E23" s="22" t="s">
        <v>188</v>
      </c>
      <c r="F23" s="22" t="s">
        <v>225</v>
      </c>
      <c r="G23" s="28" t="s">
        <v>227</v>
      </c>
      <c r="H23" s="27">
        <v>40207</v>
      </c>
      <c r="I23" s="37" t="s">
        <v>15</v>
      </c>
      <c r="J23" s="23"/>
    </row>
    <row r="24" spans="1:10" ht="15.95" customHeight="1" x14ac:dyDescent="0.2">
      <c r="A24" s="20" t="s">
        <v>462</v>
      </c>
      <c r="B24" s="24" t="s">
        <v>105</v>
      </c>
      <c r="C24" s="26" t="s">
        <v>116</v>
      </c>
      <c r="D24" s="24" t="s">
        <v>61</v>
      </c>
      <c r="E24" s="22" t="s">
        <v>207</v>
      </c>
      <c r="F24" s="22" t="s">
        <v>226</v>
      </c>
      <c r="G24" s="28" t="s">
        <v>227</v>
      </c>
      <c r="H24" s="27">
        <v>40233</v>
      </c>
      <c r="I24" s="37" t="s">
        <v>15</v>
      </c>
      <c r="J24" s="23"/>
    </row>
    <row r="25" spans="1:10" ht="15.95" customHeight="1" x14ac:dyDescent="0.2">
      <c r="A25" s="21" t="s">
        <v>463</v>
      </c>
      <c r="B25" s="24" t="s">
        <v>109</v>
      </c>
      <c r="C25" s="26" t="s">
        <v>110</v>
      </c>
      <c r="D25" s="24" t="s">
        <v>62</v>
      </c>
      <c r="E25" s="22" t="s">
        <v>203</v>
      </c>
      <c r="F25" s="22" t="s">
        <v>27</v>
      </c>
      <c r="G25" s="28" t="s">
        <v>227</v>
      </c>
      <c r="H25" s="27">
        <v>40210</v>
      </c>
      <c r="I25" s="37" t="s">
        <v>15</v>
      </c>
      <c r="J25" s="23"/>
    </row>
    <row r="26" spans="1:10" ht="15.95" customHeight="1" x14ac:dyDescent="0.2">
      <c r="A26" s="20" t="s">
        <v>464</v>
      </c>
      <c r="B26" s="24" t="s">
        <v>105</v>
      </c>
      <c r="C26" s="26" t="s">
        <v>111</v>
      </c>
      <c r="D26" s="24" t="s">
        <v>63</v>
      </c>
      <c r="E26" s="22" t="s">
        <v>196</v>
      </c>
      <c r="F26" s="22" t="s">
        <v>16</v>
      </c>
      <c r="G26" s="28" t="s">
        <v>227</v>
      </c>
      <c r="H26" s="27">
        <v>40224</v>
      </c>
      <c r="I26" s="37" t="s">
        <v>15</v>
      </c>
      <c r="J26" s="23"/>
    </row>
    <row r="27" spans="1:10" ht="15.95" customHeight="1" x14ac:dyDescent="0.2">
      <c r="A27" s="21" t="s">
        <v>465</v>
      </c>
      <c r="B27" s="24" t="s">
        <v>112</v>
      </c>
      <c r="C27" s="26" t="s">
        <v>113</v>
      </c>
      <c r="D27" s="24" t="s">
        <v>64</v>
      </c>
      <c r="E27" s="22" t="s">
        <v>40</v>
      </c>
      <c r="F27" s="22" t="s">
        <v>245</v>
      </c>
      <c r="G27" s="28" t="s">
        <v>245</v>
      </c>
      <c r="H27" s="27">
        <v>40208</v>
      </c>
      <c r="I27" s="37" t="s">
        <v>15</v>
      </c>
      <c r="J27" s="23" t="s">
        <v>96</v>
      </c>
    </row>
    <row r="28" spans="1:10" ht="40.5" customHeight="1" x14ac:dyDescent="0.2">
      <c r="A28" s="20" t="s">
        <v>466</v>
      </c>
      <c r="B28" s="24" t="s">
        <v>112</v>
      </c>
      <c r="C28" s="26" t="s">
        <v>115</v>
      </c>
      <c r="D28" s="24" t="s">
        <v>65</v>
      </c>
      <c r="E28" s="22" t="s">
        <v>57</v>
      </c>
      <c r="F28" s="22" t="s">
        <v>228</v>
      </c>
      <c r="G28" s="28" t="s">
        <v>229</v>
      </c>
      <c r="H28" s="27">
        <v>40208</v>
      </c>
      <c r="I28" s="37" t="s">
        <v>15</v>
      </c>
      <c r="J28" s="24" t="s">
        <v>98</v>
      </c>
    </row>
    <row r="29" spans="1:10" ht="15.95" customHeight="1" x14ac:dyDescent="0.2">
      <c r="A29" s="21" t="s">
        <v>467</v>
      </c>
      <c r="B29" s="24" t="s">
        <v>102</v>
      </c>
      <c r="C29" s="26" t="s">
        <v>197</v>
      </c>
      <c r="D29" s="24" t="s">
        <v>66</v>
      </c>
      <c r="E29" s="22" t="s">
        <v>41</v>
      </c>
      <c r="F29" s="22" t="s">
        <v>230</v>
      </c>
      <c r="G29" s="28" t="s">
        <v>245</v>
      </c>
      <c r="H29" s="27">
        <v>40210</v>
      </c>
      <c r="I29" s="37" t="s">
        <v>15</v>
      </c>
      <c r="J29" s="23" t="s">
        <v>100</v>
      </c>
    </row>
    <row r="30" spans="1:10" ht="15.95" customHeight="1" x14ac:dyDescent="0.2">
      <c r="A30" s="20" t="s">
        <v>468</v>
      </c>
      <c r="B30" s="24" t="s">
        <v>102</v>
      </c>
      <c r="C30" s="26" t="s">
        <v>197</v>
      </c>
      <c r="D30" s="24" t="s">
        <v>67</v>
      </c>
      <c r="E30" s="22" t="s">
        <v>231</v>
      </c>
      <c r="F30" s="22" t="s">
        <v>232</v>
      </c>
      <c r="G30" s="28" t="s">
        <v>227</v>
      </c>
      <c r="H30" s="27">
        <v>40209</v>
      </c>
      <c r="I30" s="37" t="s">
        <v>15</v>
      </c>
      <c r="J30" s="23"/>
    </row>
    <row r="31" spans="1:10" ht="26.25" customHeight="1" x14ac:dyDescent="0.2">
      <c r="A31" s="21" t="s">
        <v>469</v>
      </c>
      <c r="B31" s="24" t="s">
        <v>105</v>
      </c>
      <c r="C31" s="26" t="s">
        <v>122</v>
      </c>
      <c r="D31" s="24" t="s">
        <v>68</v>
      </c>
      <c r="E31" s="22" t="s">
        <v>208</v>
      </c>
      <c r="F31" s="22" t="s">
        <v>226</v>
      </c>
      <c r="G31" s="28" t="s">
        <v>227</v>
      </c>
      <c r="H31" s="27">
        <v>40203</v>
      </c>
      <c r="I31" s="37" t="s">
        <v>15</v>
      </c>
      <c r="J31" s="23"/>
    </row>
    <row r="32" spans="1:10" ht="15.95" customHeight="1" x14ac:dyDescent="0.2">
      <c r="A32" s="20" t="s">
        <v>470</v>
      </c>
      <c r="B32" s="24" t="s">
        <v>112</v>
      </c>
      <c r="C32" s="26" t="s">
        <v>113</v>
      </c>
      <c r="D32" s="24" t="s">
        <v>69</v>
      </c>
      <c r="E32" s="22" t="s">
        <v>40</v>
      </c>
      <c r="F32" s="22" t="s">
        <v>245</v>
      </c>
      <c r="G32" s="28" t="s">
        <v>245</v>
      </c>
      <c r="H32" s="27">
        <v>40207</v>
      </c>
      <c r="I32" s="37" t="s">
        <v>15</v>
      </c>
      <c r="J32" s="24" t="s">
        <v>97</v>
      </c>
    </row>
    <row r="33" spans="1:10" ht="15.95" customHeight="1" x14ac:dyDescent="0.2">
      <c r="A33" s="21" t="s">
        <v>471</v>
      </c>
      <c r="B33" s="24" t="s">
        <v>112</v>
      </c>
      <c r="C33" s="26" t="s">
        <v>123</v>
      </c>
      <c r="D33" s="24" t="s">
        <v>70</v>
      </c>
      <c r="E33" s="22" t="s">
        <v>57</v>
      </c>
      <c r="F33" s="22" t="s">
        <v>245</v>
      </c>
      <c r="G33" s="28" t="s">
        <v>245</v>
      </c>
      <c r="H33" s="27">
        <v>40205</v>
      </c>
      <c r="I33" s="37" t="s">
        <v>15</v>
      </c>
      <c r="J33" s="23" t="s">
        <v>99</v>
      </c>
    </row>
    <row r="34" spans="1:10" ht="15.95" customHeight="1" x14ac:dyDescent="0.2">
      <c r="A34" s="20" t="s">
        <v>472</v>
      </c>
      <c r="B34" s="24" t="s">
        <v>105</v>
      </c>
      <c r="C34" s="26" t="s">
        <v>122</v>
      </c>
      <c r="D34" s="24" t="s">
        <v>71</v>
      </c>
      <c r="E34" s="22" t="s">
        <v>212</v>
      </c>
      <c r="F34" s="28" t="s">
        <v>190</v>
      </c>
      <c r="G34" s="28" t="s">
        <v>245</v>
      </c>
      <c r="H34" s="27">
        <v>40345</v>
      </c>
      <c r="I34" s="37" t="s">
        <v>101</v>
      </c>
      <c r="J34" s="23"/>
    </row>
    <row r="35" spans="1:10" ht="15.95" customHeight="1" x14ac:dyDescent="0.2">
      <c r="A35" s="21" t="s">
        <v>473</v>
      </c>
      <c r="B35" s="24" t="s">
        <v>105</v>
      </c>
      <c r="C35" s="26" t="s">
        <v>111</v>
      </c>
      <c r="D35" s="24" t="s">
        <v>72</v>
      </c>
      <c r="E35" s="22" t="s">
        <v>209</v>
      </c>
      <c r="F35" s="22" t="s">
        <v>233</v>
      </c>
      <c r="G35" s="28" t="s">
        <v>234</v>
      </c>
      <c r="H35" s="27">
        <v>40231</v>
      </c>
      <c r="I35" s="37" t="s">
        <v>15</v>
      </c>
      <c r="J35" s="23"/>
    </row>
    <row r="36" spans="1:10" ht="15.95" customHeight="1" x14ac:dyDescent="0.2">
      <c r="A36" s="20" t="s">
        <v>474</v>
      </c>
      <c r="B36" s="24" t="s">
        <v>106</v>
      </c>
      <c r="C36" s="26" t="s">
        <v>124</v>
      </c>
      <c r="D36" s="24" t="s">
        <v>73</v>
      </c>
      <c r="E36" s="22" t="s">
        <v>41</v>
      </c>
      <c r="F36" s="22" t="s">
        <v>245</v>
      </c>
      <c r="G36" s="22" t="s">
        <v>245</v>
      </c>
      <c r="H36" s="27">
        <v>40209</v>
      </c>
      <c r="I36" s="37" t="s">
        <v>15</v>
      </c>
      <c r="J36" s="23" t="s">
        <v>88</v>
      </c>
    </row>
    <row r="37" spans="1:10" ht="15.95" customHeight="1" x14ac:dyDescent="0.2">
      <c r="A37" s="21" t="s">
        <v>475</v>
      </c>
      <c r="B37" s="24" t="s">
        <v>112</v>
      </c>
      <c r="C37" s="26" t="s">
        <v>117</v>
      </c>
      <c r="D37" s="24" t="s">
        <v>74</v>
      </c>
      <c r="E37" s="22" t="s">
        <v>196</v>
      </c>
      <c r="F37" s="22" t="s">
        <v>16</v>
      </c>
      <c r="G37" s="28" t="s">
        <v>227</v>
      </c>
      <c r="H37" s="27">
        <v>40206</v>
      </c>
      <c r="I37" s="37" t="s">
        <v>15</v>
      </c>
      <c r="J37" s="23"/>
    </row>
    <row r="38" spans="1:10" ht="15.95" customHeight="1" x14ac:dyDescent="0.2">
      <c r="A38" s="20" t="s">
        <v>476</v>
      </c>
      <c r="B38" s="24" t="s">
        <v>105</v>
      </c>
      <c r="C38" s="26" t="s">
        <v>103</v>
      </c>
      <c r="D38" s="24" t="s">
        <v>75</v>
      </c>
      <c r="E38" s="22" t="s">
        <v>188</v>
      </c>
      <c r="F38" s="22" t="s">
        <v>16</v>
      </c>
      <c r="G38" s="28" t="s">
        <v>227</v>
      </c>
      <c r="H38" s="27">
        <v>40207</v>
      </c>
      <c r="I38" s="37" t="s">
        <v>15</v>
      </c>
      <c r="J38" s="23"/>
    </row>
    <row r="39" spans="1:10" ht="15.95" customHeight="1" x14ac:dyDescent="0.2">
      <c r="A39" s="21" t="s">
        <v>477</v>
      </c>
      <c r="B39" s="24" t="s">
        <v>112</v>
      </c>
      <c r="C39" s="26" t="s">
        <v>115</v>
      </c>
      <c r="D39" s="24" t="s">
        <v>76</v>
      </c>
      <c r="E39" s="22" t="s">
        <v>57</v>
      </c>
      <c r="F39" s="22" t="s">
        <v>16</v>
      </c>
      <c r="G39" s="28" t="s">
        <v>245</v>
      </c>
      <c r="H39" s="27">
        <v>40211</v>
      </c>
      <c r="I39" s="37" t="s">
        <v>15</v>
      </c>
      <c r="J39" s="23"/>
    </row>
    <row r="40" spans="1:10" ht="15.95" customHeight="1" x14ac:dyDescent="0.2">
      <c r="A40" s="20" t="s">
        <v>478</v>
      </c>
      <c r="B40" s="24" t="s">
        <v>106</v>
      </c>
      <c r="C40" s="26" t="s">
        <v>108</v>
      </c>
      <c r="D40" s="24" t="s">
        <v>77</v>
      </c>
      <c r="E40" s="22" t="s">
        <v>210</v>
      </c>
      <c r="F40" s="22" t="s">
        <v>235</v>
      </c>
      <c r="G40" s="28" t="s">
        <v>245</v>
      </c>
      <c r="H40" s="27">
        <v>40353</v>
      </c>
      <c r="I40" s="37" t="s">
        <v>15</v>
      </c>
      <c r="J40" s="23" t="s">
        <v>126</v>
      </c>
    </row>
    <row r="41" spans="1:10" ht="15.95" customHeight="1" x14ac:dyDescent="0.2">
      <c r="A41" s="21" t="s">
        <v>479</v>
      </c>
      <c r="B41" s="24" t="s">
        <v>112</v>
      </c>
      <c r="C41" s="26" t="s">
        <v>117</v>
      </c>
      <c r="D41" s="24" t="s">
        <v>78</v>
      </c>
      <c r="E41" s="22" t="s">
        <v>41</v>
      </c>
      <c r="F41" s="22" t="s">
        <v>245</v>
      </c>
      <c r="G41" s="28" t="s">
        <v>245</v>
      </c>
      <c r="H41" s="27">
        <v>40179</v>
      </c>
      <c r="I41" s="37" t="s">
        <v>15</v>
      </c>
      <c r="J41" s="23" t="s">
        <v>128</v>
      </c>
    </row>
    <row r="42" spans="1:10" ht="15.95" customHeight="1" x14ac:dyDescent="0.2">
      <c r="A42" s="20" t="s">
        <v>480</v>
      </c>
      <c r="B42" s="24" t="s">
        <v>109</v>
      </c>
      <c r="C42" s="26" t="s">
        <v>125</v>
      </c>
      <c r="D42" s="24" t="s">
        <v>79</v>
      </c>
      <c r="E42" s="22" t="s">
        <v>57</v>
      </c>
      <c r="F42" s="22" t="s">
        <v>245</v>
      </c>
      <c r="G42" s="28" t="s">
        <v>245</v>
      </c>
      <c r="H42" s="27">
        <v>40207</v>
      </c>
      <c r="I42" s="37" t="s">
        <v>15</v>
      </c>
      <c r="J42" s="23" t="s">
        <v>127</v>
      </c>
    </row>
    <row r="43" spans="1:10" ht="15.95" customHeight="1" x14ac:dyDescent="0.2">
      <c r="A43" s="21" t="s">
        <v>481</v>
      </c>
      <c r="B43" s="24" t="s">
        <v>109</v>
      </c>
      <c r="C43" s="26" t="s">
        <v>125</v>
      </c>
      <c r="D43" s="24" t="s">
        <v>80</v>
      </c>
      <c r="E43" s="22" t="s">
        <v>236</v>
      </c>
      <c r="F43" s="22" t="s">
        <v>16</v>
      </c>
      <c r="G43" s="28" t="s">
        <v>245</v>
      </c>
      <c r="H43" s="27">
        <v>40284</v>
      </c>
      <c r="I43" s="37" t="s">
        <v>15</v>
      </c>
      <c r="J43" s="23"/>
    </row>
    <row r="44" spans="1:10" ht="15.95" customHeight="1" x14ac:dyDescent="0.2">
      <c r="A44" s="20" t="s">
        <v>482</v>
      </c>
      <c r="B44" s="24" t="s">
        <v>105</v>
      </c>
      <c r="C44" s="26" t="s">
        <v>111</v>
      </c>
      <c r="D44" s="24" t="s">
        <v>81</v>
      </c>
      <c r="E44" s="22" t="s">
        <v>204</v>
      </c>
      <c r="F44" s="22" t="s">
        <v>237</v>
      </c>
      <c r="G44" s="28" t="s">
        <v>245</v>
      </c>
      <c r="H44" s="27"/>
      <c r="I44" s="37" t="s">
        <v>15</v>
      </c>
      <c r="J44" s="23"/>
    </row>
    <row r="45" spans="1:10" ht="15.95" customHeight="1" x14ac:dyDescent="0.2">
      <c r="A45" s="21" t="s">
        <v>483</v>
      </c>
      <c r="B45" s="24" t="s">
        <v>112</v>
      </c>
      <c r="C45" s="26" t="s">
        <v>115</v>
      </c>
      <c r="D45" s="24" t="s">
        <v>82</v>
      </c>
      <c r="E45" s="22" t="s">
        <v>41</v>
      </c>
      <c r="F45" s="22" t="s">
        <v>245</v>
      </c>
      <c r="G45" s="28" t="s">
        <v>245</v>
      </c>
      <c r="H45" s="27">
        <v>40206</v>
      </c>
      <c r="I45" s="37" t="s">
        <v>15</v>
      </c>
      <c r="J45" s="23" t="s">
        <v>129</v>
      </c>
    </row>
    <row r="46" spans="1:10" ht="15.95" customHeight="1" x14ac:dyDescent="0.2">
      <c r="A46" s="20" t="s">
        <v>484</v>
      </c>
      <c r="B46" s="24" t="s">
        <v>105</v>
      </c>
      <c r="C46" s="26" t="s">
        <v>114</v>
      </c>
      <c r="D46" s="24" t="s">
        <v>83</v>
      </c>
      <c r="E46" s="22" t="s">
        <v>41</v>
      </c>
      <c r="F46" s="22" t="s">
        <v>245</v>
      </c>
      <c r="G46" s="28" t="s">
        <v>245</v>
      </c>
      <c r="H46" s="27">
        <v>40207</v>
      </c>
      <c r="I46" s="37" t="s">
        <v>15</v>
      </c>
      <c r="J46" s="23" t="s">
        <v>130</v>
      </c>
    </row>
    <row r="47" spans="1:10" ht="15.95" customHeight="1" x14ac:dyDescent="0.2">
      <c r="A47" s="21" t="s">
        <v>485</v>
      </c>
      <c r="B47" s="24" t="s">
        <v>109</v>
      </c>
      <c r="C47" s="26" t="s">
        <v>110</v>
      </c>
      <c r="D47" s="24" t="s">
        <v>84</v>
      </c>
      <c r="E47" s="22" t="s">
        <v>195</v>
      </c>
      <c r="F47" s="22" t="s">
        <v>238</v>
      </c>
      <c r="G47" s="28" t="s">
        <v>245</v>
      </c>
      <c r="H47" s="27">
        <v>40555</v>
      </c>
      <c r="I47" s="37" t="s">
        <v>15</v>
      </c>
      <c r="J47" s="23"/>
    </row>
    <row r="48" spans="1:10" ht="15.95" customHeight="1" x14ac:dyDescent="0.2">
      <c r="A48" s="21" t="s">
        <v>486</v>
      </c>
      <c r="B48" s="24" t="s">
        <v>109</v>
      </c>
      <c r="C48" s="26" t="s">
        <v>125</v>
      </c>
      <c r="D48" s="24" t="s">
        <v>85</v>
      </c>
      <c r="E48" s="22" t="s">
        <v>188</v>
      </c>
      <c r="F48" s="22" t="s">
        <v>16</v>
      </c>
      <c r="G48" s="28" t="s">
        <v>227</v>
      </c>
      <c r="H48" s="27">
        <v>40196</v>
      </c>
      <c r="I48" s="37" t="s">
        <v>15</v>
      </c>
      <c r="J48" s="23"/>
    </row>
    <row r="49" spans="1:10" ht="15.95" customHeight="1" x14ac:dyDescent="0.2">
      <c r="A49" s="21" t="s">
        <v>487</v>
      </c>
      <c r="B49" s="24" t="s">
        <v>105</v>
      </c>
      <c r="C49" s="26" t="s">
        <v>111</v>
      </c>
      <c r="D49" s="24" t="s">
        <v>86</v>
      </c>
      <c r="E49" s="22" t="s">
        <v>209</v>
      </c>
      <c r="F49" s="22" t="s">
        <v>233</v>
      </c>
      <c r="G49" s="28" t="s">
        <v>234</v>
      </c>
      <c r="H49" s="27">
        <v>40225</v>
      </c>
      <c r="I49" s="37" t="s">
        <v>15</v>
      </c>
      <c r="J49" s="23"/>
    </row>
    <row r="50" spans="1:10" ht="15.95" customHeight="1" x14ac:dyDescent="0.2">
      <c r="A50" s="21" t="s">
        <v>488</v>
      </c>
      <c r="B50" s="24" t="s">
        <v>105</v>
      </c>
      <c r="C50" s="26" t="s">
        <v>103</v>
      </c>
      <c r="D50" s="24" t="s">
        <v>87</v>
      </c>
      <c r="E50" s="22" t="s">
        <v>211</v>
      </c>
      <c r="F50" s="22" t="s">
        <v>16</v>
      </c>
      <c r="G50" s="28" t="s">
        <v>227</v>
      </c>
      <c r="H50" s="27">
        <v>40316</v>
      </c>
      <c r="I50" s="37" t="s">
        <v>15</v>
      </c>
      <c r="J50" s="23"/>
    </row>
    <row r="51" spans="1:10" ht="16.5" customHeight="1" x14ac:dyDescent="0.2">
      <c r="A51" s="21" t="s">
        <v>489</v>
      </c>
      <c r="B51" s="24" t="s">
        <v>105</v>
      </c>
      <c r="C51" s="26" t="s">
        <v>114</v>
      </c>
      <c r="D51" s="24" t="s">
        <v>133</v>
      </c>
      <c r="E51" s="22"/>
      <c r="F51" s="22" t="s">
        <v>245</v>
      </c>
      <c r="G51" s="28" t="s">
        <v>245</v>
      </c>
      <c r="H51" s="27">
        <v>40246</v>
      </c>
      <c r="I51" s="37" t="s">
        <v>101</v>
      </c>
      <c r="J51" s="23"/>
    </row>
    <row r="52" spans="1:10" ht="16.5" customHeight="1" x14ac:dyDescent="0.2">
      <c r="A52" s="21" t="s">
        <v>490</v>
      </c>
      <c r="B52" s="24" t="s">
        <v>109</v>
      </c>
      <c r="C52" s="26" t="s">
        <v>125</v>
      </c>
      <c r="D52" s="24" t="s">
        <v>134</v>
      </c>
      <c r="E52" s="22"/>
      <c r="F52" s="22" t="s">
        <v>245</v>
      </c>
      <c r="G52" s="28" t="s">
        <v>245</v>
      </c>
      <c r="H52" s="27">
        <v>40204</v>
      </c>
      <c r="I52" s="37" t="s">
        <v>101</v>
      </c>
      <c r="J52" s="23"/>
    </row>
    <row r="53" spans="1:10" ht="16.5" customHeight="1" x14ac:dyDescent="0.2">
      <c r="A53" s="21" t="s">
        <v>491</v>
      </c>
      <c r="B53" s="24" t="s">
        <v>105</v>
      </c>
      <c r="C53" s="26" t="s">
        <v>114</v>
      </c>
      <c r="D53" s="24" t="s">
        <v>135</v>
      </c>
      <c r="E53" s="22"/>
      <c r="F53" s="22" t="s">
        <v>245</v>
      </c>
      <c r="G53" s="28" t="s">
        <v>245</v>
      </c>
      <c r="H53" s="27">
        <v>40402</v>
      </c>
      <c r="I53" s="37" t="s">
        <v>101</v>
      </c>
      <c r="J53" s="23"/>
    </row>
    <row r="54" spans="1:10" ht="16.5" customHeight="1" x14ac:dyDescent="0.2">
      <c r="A54" s="21" t="s">
        <v>492</v>
      </c>
      <c r="B54" s="24" t="s">
        <v>106</v>
      </c>
      <c r="C54" s="26" t="s">
        <v>107</v>
      </c>
      <c r="D54" s="24" t="s">
        <v>136</v>
      </c>
      <c r="E54" s="22"/>
      <c r="F54" s="22" t="s">
        <v>245</v>
      </c>
      <c r="G54" s="28" t="s">
        <v>245</v>
      </c>
      <c r="H54" s="27">
        <v>40210</v>
      </c>
      <c r="I54" s="37" t="s">
        <v>101</v>
      </c>
      <c r="J54" s="23"/>
    </row>
    <row r="55" spans="1:10" ht="16.5" customHeight="1" x14ac:dyDescent="0.2">
      <c r="A55" s="21" t="s">
        <v>493</v>
      </c>
      <c r="B55" s="24" t="s">
        <v>112</v>
      </c>
      <c r="C55" s="26" t="s">
        <v>113</v>
      </c>
      <c r="D55" s="24" t="s">
        <v>137</v>
      </c>
      <c r="E55" s="22"/>
      <c r="F55" s="22" t="s">
        <v>245</v>
      </c>
      <c r="G55" s="28" t="s">
        <v>245</v>
      </c>
      <c r="H55" s="27">
        <v>40203</v>
      </c>
      <c r="I55" s="37" t="s">
        <v>101</v>
      </c>
      <c r="J55" s="23"/>
    </row>
    <row r="56" spans="1:10" ht="16.5" customHeight="1" x14ac:dyDescent="0.2">
      <c r="A56" s="21" t="s">
        <v>494</v>
      </c>
      <c r="B56" s="24" t="s">
        <v>106</v>
      </c>
      <c r="C56" s="26" t="s">
        <v>107</v>
      </c>
      <c r="D56" s="24" t="s">
        <v>138</v>
      </c>
      <c r="E56" s="22"/>
      <c r="F56" s="22" t="s">
        <v>245</v>
      </c>
      <c r="G56" s="28" t="s">
        <v>245</v>
      </c>
      <c r="H56" s="27">
        <v>40288</v>
      </c>
      <c r="I56" s="37" t="s">
        <v>101</v>
      </c>
      <c r="J56" s="23"/>
    </row>
    <row r="57" spans="1:10" ht="16.5" customHeight="1" x14ac:dyDescent="0.2">
      <c r="A57" s="21" t="s">
        <v>495</v>
      </c>
      <c r="B57" s="24" t="s">
        <v>106</v>
      </c>
      <c r="C57" s="26" t="s">
        <v>107</v>
      </c>
      <c r="D57" s="24" t="s">
        <v>139</v>
      </c>
      <c r="E57" s="22"/>
      <c r="F57" s="22" t="s">
        <v>245</v>
      </c>
      <c r="G57" s="28" t="s">
        <v>245</v>
      </c>
      <c r="H57" s="27">
        <v>40318</v>
      </c>
      <c r="I57" s="37" t="s">
        <v>101</v>
      </c>
      <c r="J57" s="23"/>
    </row>
    <row r="58" spans="1:10" ht="16.5" customHeight="1" x14ac:dyDescent="0.2">
      <c r="A58" s="21" t="s">
        <v>496</v>
      </c>
      <c r="B58" s="24" t="s">
        <v>109</v>
      </c>
      <c r="C58" s="26" t="s">
        <v>125</v>
      </c>
      <c r="D58" s="24" t="s">
        <v>140</v>
      </c>
      <c r="E58" s="22"/>
      <c r="F58" s="22" t="s">
        <v>245</v>
      </c>
      <c r="G58" s="28" t="s">
        <v>245</v>
      </c>
      <c r="H58" s="27">
        <v>40207</v>
      </c>
      <c r="I58" s="37" t="s">
        <v>101</v>
      </c>
      <c r="J58" s="23"/>
    </row>
    <row r="59" spans="1:10" ht="16.5" customHeight="1" x14ac:dyDescent="0.2">
      <c r="A59" s="21" t="s">
        <v>497</v>
      </c>
      <c r="B59" s="24" t="s">
        <v>112</v>
      </c>
      <c r="C59" s="26" t="s">
        <v>115</v>
      </c>
      <c r="D59" s="24" t="s">
        <v>180</v>
      </c>
      <c r="E59" s="22"/>
      <c r="F59" s="22" t="s">
        <v>245</v>
      </c>
      <c r="G59" s="28" t="s">
        <v>245</v>
      </c>
      <c r="H59" s="27">
        <v>40336</v>
      </c>
      <c r="I59" s="37" t="s">
        <v>101</v>
      </c>
      <c r="J59" s="23"/>
    </row>
    <row r="60" spans="1:10" ht="16.5" customHeight="1" x14ac:dyDescent="0.2">
      <c r="A60" s="21" t="s">
        <v>498</v>
      </c>
      <c r="B60" s="24" t="s">
        <v>105</v>
      </c>
      <c r="C60" s="26" t="s">
        <v>111</v>
      </c>
      <c r="D60" s="24" t="s">
        <v>141</v>
      </c>
      <c r="E60" s="22"/>
      <c r="F60" s="22" t="s">
        <v>245</v>
      </c>
      <c r="G60" s="28" t="s">
        <v>245</v>
      </c>
      <c r="H60" s="27">
        <v>40256</v>
      </c>
      <c r="I60" s="37" t="s">
        <v>101</v>
      </c>
      <c r="J60" s="23"/>
    </row>
    <row r="61" spans="1:10" ht="16.5" customHeight="1" x14ac:dyDescent="0.2">
      <c r="A61" s="21" t="s">
        <v>499</v>
      </c>
      <c r="B61" s="24" t="s">
        <v>105</v>
      </c>
      <c r="C61" s="26" t="s">
        <v>122</v>
      </c>
      <c r="D61" s="24" t="s">
        <v>142</v>
      </c>
      <c r="E61" s="22"/>
      <c r="F61" s="22" t="s">
        <v>245</v>
      </c>
      <c r="G61" s="28" t="s">
        <v>245</v>
      </c>
      <c r="H61" s="27">
        <v>40301</v>
      </c>
      <c r="I61" s="37" t="s">
        <v>101</v>
      </c>
      <c r="J61" s="23"/>
    </row>
    <row r="62" spans="1:10" ht="16.5" customHeight="1" x14ac:dyDescent="0.2">
      <c r="A62" s="21" t="s">
        <v>500</v>
      </c>
      <c r="B62" s="24" t="s">
        <v>105</v>
      </c>
      <c r="C62" s="26" t="s">
        <v>111</v>
      </c>
      <c r="D62" s="24" t="s">
        <v>143</v>
      </c>
      <c r="E62" s="22"/>
      <c r="F62" s="22" t="s">
        <v>245</v>
      </c>
      <c r="G62" s="28" t="s">
        <v>245</v>
      </c>
      <c r="H62" s="27">
        <v>40277</v>
      </c>
      <c r="I62" s="37" t="s">
        <v>101</v>
      </c>
      <c r="J62" s="23"/>
    </row>
    <row r="63" spans="1:10" ht="16.5" customHeight="1" x14ac:dyDescent="0.2">
      <c r="A63" s="21" t="s">
        <v>501</v>
      </c>
      <c r="B63" s="24" t="s">
        <v>105</v>
      </c>
      <c r="C63" s="26" t="s">
        <v>122</v>
      </c>
      <c r="D63" s="24" t="s">
        <v>181</v>
      </c>
      <c r="E63" s="22"/>
      <c r="F63" s="22" t="s">
        <v>245</v>
      </c>
      <c r="G63" s="28" t="s">
        <v>245</v>
      </c>
      <c r="H63" s="27">
        <v>40471</v>
      </c>
      <c r="I63" s="37" t="s">
        <v>101</v>
      </c>
      <c r="J63" s="23"/>
    </row>
    <row r="64" spans="1:10" ht="16.5" customHeight="1" x14ac:dyDescent="0.2">
      <c r="A64" s="21" t="s">
        <v>502</v>
      </c>
      <c r="B64" s="24" t="s">
        <v>105</v>
      </c>
      <c r="C64" s="26" t="s">
        <v>116</v>
      </c>
      <c r="D64" s="24" t="s">
        <v>144</v>
      </c>
      <c r="E64" s="22"/>
      <c r="F64" s="22" t="s">
        <v>245</v>
      </c>
      <c r="G64" s="28" t="s">
        <v>245</v>
      </c>
      <c r="H64" s="27">
        <v>40208</v>
      </c>
      <c r="I64" s="37" t="s">
        <v>101</v>
      </c>
      <c r="J64" s="23"/>
    </row>
    <row r="65" spans="1:10" ht="16.5" customHeight="1" x14ac:dyDescent="0.2">
      <c r="A65" s="21" t="s">
        <v>503</v>
      </c>
      <c r="B65" s="24" t="s">
        <v>105</v>
      </c>
      <c r="C65" s="26" t="s">
        <v>122</v>
      </c>
      <c r="D65" s="24" t="s">
        <v>145</v>
      </c>
      <c r="E65" s="22"/>
      <c r="F65" s="22" t="s">
        <v>245</v>
      </c>
      <c r="G65" s="28" t="s">
        <v>245</v>
      </c>
      <c r="H65" s="27">
        <v>40211</v>
      </c>
      <c r="I65" s="37" t="s">
        <v>101</v>
      </c>
      <c r="J65" s="23"/>
    </row>
    <row r="66" spans="1:10" ht="16.5" customHeight="1" x14ac:dyDescent="0.2">
      <c r="A66" s="21" t="s">
        <v>504</v>
      </c>
      <c r="B66" s="24" t="s">
        <v>112</v>
      </c>
      <c r="C66" s="26" t="s">
        <v>123</v>
      </c>
      <c r="D66" s="24" t="s">
        <v>146</v>
      </c>
      <c r="E66" s="22"/>
      <c r="F66" s="22" t="s">
        <v>245</v>
      </c>
      <c r="G66" s="28" t="s">
        <v>245</v>
      </c>
      <c r="H66" s="27">
        <v>40208</v>
      </c>
      <c r="I66" s="37" t="s">
        <v>101</v>
      </c>
      <c r="J66" s="23"/>
    </row>
    <row r="67" spans="1:10" ht="16.5" customHeight="1" x14ac:dyDescent="0.2">
      <c r="A67" s="21" t="s">
        <v>505</v>
      </c>
      <c r="B67" s="24" t="s">
        <v>105</v>
      </c>
      <c r="C67" s="26" t="s">
        <v>111</v>
      </c>
      <c r="D67" s="24" t="s">
        <v>147</v>
      </c>
      <c r="E67" s="22"/>
      <c r="F67" s="22" t="s">
        <v>245</v>
      </c>
      <c r="G67" s="28" t="s">
        <v>245</v>
      </c>
      <c r="H67" s="27">
        <v>40223</v>
      </c>
      <c r="I67" s="37" t="s">
        <v>101</v>
      </c>
      <c r="J67" s="23"/>
    </row>
    <row r="68" spans="1:10" ht="16.5" customHeight="1" x14ac:dyDescent="0.2">
      <c r="A68" s="21" t="s">
        <v>506</v>
      </c>
      <c r="B68" s="24" t="s">
        <v>106</v>
      </c>
      <c r="C68" s="26" t="s">
        <v>121</v>
      </c>
      <c r="D68" s="24" t="s">
        <v>198</v>
      </c>
      <c r="E68" s="22"/>
      <c r="F68" s="22" t="s">
        <v>245</v>
      </c>
      <c r="G68" s="28" t="s">
        <v>245</v>
      </c>
      <c r="H68" s="27">
        <v>40214</v>
      </c>
      <c r="I68" s="37" t="s">
        <v>101</v>
      </c>
      <c r="J68" s="23"/>
    </row>
    <row r="69" spans="1:10" ht="16.5" customHeight="1" x14ac:dyDescent="0.2">
      <c r="A69" s="21" t="s">
        <v>507</v>
      </c>
      <c r="B69" s="24" t="s">
        <v>105</v>
      </c>
      <c r="C69" s="26" t="s">
        <v>111</v>
      </c>
      <c r="D69" s="24" t="s">
        <v>148</v>
      </c>
      <c r="E69" s="22"/>
      <c r="F69" s="22" t="s">
        <v>245</v>
      </c>
      <c r="G69" s="28" t="s">
        <v>245</v>
      </c>
      <c r="H69" s="27">
        <v>40256</v>
      </c>
      <c r="I69" s="37" t="s">
        <v>101</v>
      </c>
      <c r="J69" s="23"/>
    </row>
    <row r="70" spans="1:10" ht="16.5" customHeight="1" x14ac:dyDescent="0.2">
      <c r="A70" s="21" t="s">
        <v>508</v>
      </c>
      <c r="B70" s="24" t="s">
        <v>105</v>
      </c>
      <c r="C70" s="26" t="s">
        <v>111</v>
      </c>
      <c r="D70" s="24" t="s">
        <v>149</v>
      </c>
      <c r="E70" s="22"/>
      <c r="F70" s="22" t="s">
        <v>245</v>
      </c>
      <c r="G70" s="28" t="s">
        <v>245</v>
      </c>
      <c r="H70" s="27">
        <v>40304</v>
      </c>
      <c r="I70" s="37" t="s">
        <v>101</v>
      </c>
      <c r="J70" s="23"/>
    </row>
    <row r="71" spans="1:10" ht="16.5" customHeight="1" x14ac:dyDescent="0.2">
      <c r="A71" s="21" t="s">
        <v>509</v>
      </c>
      <c r="B71" s="24" t="s">
        <v>106</v>
      </c>
      <c r="C71" s="26" t="s">
        <v>108</v>
      </c>
      <c r="D71" s="24" t="s">
        <v>150</v>
      </c>
      <c r="E71" s="22"/>
      <c r="F71" s="22" t="s">
        <v>245</v>
      </c>
      <c r="G71" s="28" t="s">
        <v>245</v>
      </c>
      <c r="H71" s="27">
        <v>40221</v>
      </c>
      <c r="I71" s="37" t="s">
        <v>101</v>
      </c>
      <c r="J71" s="23"/>
    </row>
    <row r="72" spans="1:10" ht="16.5" customHeight="1" x14ac:dyDescent="0.2">
      <c r="A72" s="21" t="s">
        <v>510</v>
      </c>
      <c r="B72" s="24" t="s">
        <v>106</v>
      </c>
      <c r="C72" s="26" t="s">
        <v>121</v>
      </c>
      <c r="D72" s="24" t="s">
        <v>199</v>
      </c>
      <c r="E72" s="22"/>
      <c r="F72" s="22" t="s">
        <v>245</v>
      </c>
      <c r="G72" s="28" t="s">
        <v>245</v>
      </c>
      <c r="H72" s="27">
        <v>40360</v>
      </c>
      <c r="I72" s="37" t="s">
        <v>101</v>
      </c>
      <c r="J72" s="23"/>
    </row>
    <row r="73" spans="1:10" ht="16.5" customHeight="1" x14ac:dyDescent="0.2">
      <c r="A73" s="21" t="s">
        <v>511</v>
      </c>
      <c r="B73" s="24" t="s">
        <v>106</v>
      </c>
      <c r="C73" s="26" t="s">
        <v>107</v>
      </c>
      <c r="D73" s="24" t="s">
        <v>151</v>
      </c>
      <c r="E73" s="22"/>
      <c r="F73" s="22" t="s">
        <v>245</v>
      </c>
      <c r="G73" s="28" t="s">
        <v>245</v>
      </c>
      <c r="H73" s="27">
        <v>40275</v>
      </c>
      <c r="I73" s="37" t="s">
        <v>101</v>
      </c>
      <c r="J73" s="23"/>
    </row>
    <row r="74" spans="1:10" ht="16.5" customHeight="1" x14ac:dyDescent="0.2">
      <c r="A74" s="21" t="s">
        <v>512</v>
      </c>
      <c r="B74" s="24" t="s">
        <v>105</v>
      </c>
      <c r="C74" s="26" t="s">
        <v>122</v>
      </c>
      <c r="D74" s="24" t="s">
        <v>152</v>
      </c>
      <c r="E74" s="22"/>
      <c r="F74" s="22" t="s">
        <v>245</v>
      </c>
      <c r="G74" s="28" t="s">
        <v>245</v>
      </c>
      <c r="H74" s="27">
        <v>40325</v>
      </c>
      <c r="I74" s="37" t="s">
        <v>101</v>
      </c>
      <c r="J74" s="23"/>
    </row>
    <row r="75" spans="1:10" ht="16.5" customHeight="1" x14ac:dyDescent="0.2">
      <c r="A75" s="21" t="s">
        <v>513</v>
      </c>
      <c r="B75" s="24" t="s">
        <v>112</v>
      </c>
      <c r="C75" s="26" t="s">
        <v>123</v>
      </c>
      <c r="D75" s="24" t="s">
        <v>153</v>
      </c>
      <c r="E75" s="22"/>
      <c r="F75" s="22" t="s">
        <v>245</v>
      </c>
      <c r="G75" s="28" t="s">
        <v>245</v>
      </c>
      <c r="H75" s="27">
        <v>40235</v>
      </c>
      <c r="I75" s="37" t="s">
        <v>101</v>
      </c>
      <c r="J75" s="23"/>
    </row>
    <row r="76" spans="1:10" ht="16.5" customHeight="1" x14ac:dyDescent="0.2">
      <c r="A76" s="21" t="s">
        <v>514</v>
      </c>
      <c r="B76" s="24" t="s">
        <v>112</v>
      </c>
      <c r="C76" s="26" t="s">
        <v>115</v>
      </c>
      <c r="D76" s="24" t="s">
        <v>154</v>
      </c>
      <c r="E76" s="22"/>
      <c r="F76" s="22" t="s">
        <v>245</v>
      </c>
      <c r="G76" s="28" t="s">
        <v>245</v>
      </c>
      <c r="H76" s="27">
        <v>40224</v>
      </c>
      <c r="I76" s="37" t="s">
        <v>101</v>
      </c>
      <c r="J76" s="23"/>
    </row>
    <row r="77" spans="1:10" ht="16.5" customHeight="1" x14ac:dyDescent="0.2">
      <c r="A77" s="21" t="s">
        <v>515</v>
      </c>
      <c r="B77" s="24" t="s">
        <v>105</v>
      </c>
      <c r="C77" s="26" t="s">
        <v>114</v>
      </c>
      <c r="D77" s="24" t="s">
        <v>155</v>
      </c>
      <c r="E77" s="22"/>
      <c r="F77" s="22" t="s">
        <v>245</v>
      </c>
      <c r="G77" s="28" t="s">
        <v>245</v>
      </c>
      <c r="H77" s="27">
        <v>40207</v>
      </c>
      <c r="I77" s="37" t="s">
        <v>101</v>
      </c>
      <c r="J77" s="23"/>
    </row>
    <row r="78" spans="1:10" ht="16.5" customHeight="1" x14ac:dyDescent="0.2">
      <c r="A78" s="21" t="s">
        <v>516</v>
      </c>
      <c r="B78" s="24" t="s">
        <v>105</v>
      </c>
      <c r="C78" s="26" t="s">
        <v>111</v>
      </c>
      <c r="D78" s="24" t="s">
        <v>156</v>
      </c>
      <c r="E78" s="22"/>
      <c r="F78" s="22" t="s">
        <v>245</v>
      </c>
      <c r="G78" s="28" t="s">
        <v>245</v>
      </c>
      <c r="H78" s="27">
        <v>40338</v>
      </c>
      <c r="I78" s="37" t="s">
        <v>101</v>
      </c>
      <c r="J78" s="23"/>
    </row>
    <row r="79" spans="1:10" ht="66" customHeight="1" x14ac:dyDescent="0.2">
      <c r="A79" s="21" t="s">
        <v>517</v>
      </c>
      <c r="B79" s="24" t="s">
        <v>105</v>
      </c>
      <c r="C79" s="26" t="s">
        <v>122</v>
      </c>
      <c r="D79" s="24" t="s">
        <v>157</v>
      </c>
      <c r="E79" s="22" t="s">
        <v>267</v>
      </c>
      <c r="F79" s="22" t="s">
        <v>265</v>
      </c>
      <c r="G79" s="28" t="s">
        <v>266</v>
      </c>
      <c r="H79" s="27">
        <v>41023</v>
      </c>
      <c r="I79" s="87" t="s">
        <v>372</v>
      </c>
      <c r="J79" s="23"/>
    </row>
    <row r="80" spans="1:10" ht="16.5" customHeight="1" x14ac:dyDescent="0.2">
      <c r="A80" s="21" t="s">
        <v>518</v>
      </c>
      <c r="B80" s="24" t="s">
        <v>105</v>
      </c>
      <c r="C80" s="26" t="s">
        <v>111</v>
      </c>
      <c r="D80" s="24" t="s">
        <v>158</v>
      </c>
      <c r="E80" s="22"/>
      <c r="F80" s="22" t="s">
        <v>245</v>
      </c>
      <c r="G80" s="28" t="s">
        <v>245</v>
      </c>
      <c r="H80" s="27">
        <v>40200</v>
      </c>
      <c r="I80" s="37" t="s">
        <v>101</v>
      </c>
      <c r="J80" s="23"/>
    </row>
    <row r="81" spans="1:10" ht="16.5" customHeight="1" x14ac:dyDescent="0.2">
      <c r="A81" s="21" t="s">
        <v>519</v>
      </c>
      <c r="B81" s="24" t="s">
        <v>109</v>
      </c>
      <c r="C81" s="26" t="s">
        <v>125</v>
      </c>
      <c r="D81" s="24" t="s">
        <v>159</v>
      </c>
      <c r="E81" s="22"/>
      <c r="F81" s="22" t="s">
        <v>245</v>
      </c>
      <c r="G81" s="28" t="s">
        <v>245</v>
      </c>
      <c r="H81" s="27">
        <v>40207</v>
      </c>
      <c r="I81" s="37" t="s">
        <v>101</v>
      </c>
      <c r="J81" s="23"/>
    </row>
    <row r="82" spans="1:10" ht="16.5" customHeight="1" x14ac:dyDescent="0.2">
      <c r="A82" s="21" t="s">
        <v>520</v>
      </c>
      <c r="B82" s="24" t="s">
        <v>105</v>
      </c>
      <c r="C82" s="26" t="s">
        <v>122</v>
      </c>
      <c r="D82" s="24" t="s">
        <v>160</v>
      </c>
      <c r="E82" s="22"/>
      <c r="F82" s="22" t="s">
        <v>245</v>
      </c>
      <c r="G82" s="28" t="s">
        <v>245</v>
      </c>
      <c r="H82" s="27">
        <v>40281</v>
      </c>
      <c r="I82" s="37" t="s">
        <v>101</v>
      </c>
      <c r="J82" s="23"/>
    </row>
    <row r="83" spans="1:10" ht="16.5" customHeight="1" x14ac:dyDescent="0.2">
      <c r="A83" s="21" t="s">
        <v>521</v>
      </c>
      <c r="B83" s="24" t="s">
        <v>105</v>
      </c>
      <c r="C83" s="26" t="s">
        <v>114</v>
      </c>
      <c r="D83" s="24" t="s">
        <v>161</v>
      </c>
      <c r="E83" s="22"/>
      <c r="F83" s="22" t="s">
        <v>245</v>
      </c>
      <c r="G83" s="28" t="s">
        <v>245</v>
      </c>
      <c r="H83" s="27">
        <v>40207</v>
      </c>
      <c r="I83" s="37" t="s">
        <v>101</v>
      </c>
      <c r="J83" s="23"/>
    </row>
    <row r="84" spans="1:10" ht="16.5" customHeight="1" x14ac:dyDescent="0.2">
      <c r="A84" s="21" t="s">
        <v>522</v>
      </c>
      <c r="B84" s="24" t="s">
        <v>112</v>
      </c>
      <c r="C84" s="26" t="s">
        <v>113</v>
      </c>
      <c r="D84" s="24" t="s">
        <v>162</v>
      </c>
      <c r="E84" s="22"/>
      <c r="F84" s="22" t="s">
        <v>245</v>
      </c>
      <c r="G84" s="28" t="s">
        <v>245</v>
      </c>
      <c r="H84" s="27">
        <v>40209</v>
      </c>
      <c r="I84" s="37" t="s">
        <v>101</v>
      </c>
      <c r="J84" s="23"/>
    </row>
    <row r="85" spans="1:10" ht="16.5" customHeight="1" x14ac:dyDescent="0.2">
      <c r="A85" s="21" t="s">
        <v>523</v>
      </c>
      <c r="B85" s="24" t="s">
        <v>105</v>
      </c>
      <c r="C85" s="26" t="s">
        <v>111</v>
      </c>
      <c r="D85" s="24" t="s">
        <v>163</v>
      </c>
      <c r="E85" s="22"/>
      <c r="F85" s="22" t="s">
        <v>245</v>
      </c>
      <c r="G85" s="28" t="s">
        <v>245</v>
      </c>
      <c r="H85" s="27">
        <v>40319</v>
      </c>
      <c r="I85" s="37" t="s">
        <v>101</v>
      </c>
      <c r="J85" s="23"/>
    </row>
    <row r="86" spans="1:10" ht="16.5" customHeight="1" x14ac:dyDescent="0.2">
      <c r="A86" s="21" t="s">
        <v>524</v>
      </c>
      <c r="B86" s="24" t="s">
        <v>112</v>
      </c>
      <c r="C86" s="26" t="s">
        <v>123</v>
      </c>
      <c r="D86" s="24" t="s">
        <v>164</v>
      </c>
      <c r="E86" s="22"/>
      <c r="F86" s="22" t="s">
        <v>245</v>
      </c>
      <c r="G86" s="28" t="s">
        <v>245</v>
      </c>
      <c r="H86" s="27">
        <v>40213</v>
      </c>
      <c r="I86" s="37" t="s">
        <v>101</v>
      </c>
      <c r="J86" s="23"/>
    </row>
    <row r="87" spans="1:10" ht="16.5" customHeight="1" x14ac:dyDescent="0.2">
      <c r="A87" s="21" t="s">
        <v>525</v>
      </c>
      <c r="B87" s="24" t="s">
        <v>106</v>
      </c>
      <c r="C87" s="26" t="s">
        <v>121</v>
      </c>
      <c r="D87" s="24" t="s">
        <v>165</v>
      </c>
      <c r="E87" s="22"/>
      <c r="F87" s="22" t="s">
        <v>245</v>
      </c>
      <c r="G87" s="28" t="s">
        <v>245</v>
      </c>
      <c r="H87" s="27">
        <v>40208</v>
      </c>
      <c r="I87" s="37" t="s">
        <v>101</v>
      </c>
      <c r="J87" s="23"/>
    </row>
    <row r="88" spans="1:10" ht="16.5" customHeight="1" x14ac:dyDescent="0.2">
      <c r="A88" s="21" t="s">
        <v>526</v>
      </c>
      <c r="B88" s="24" t="s">
        <v>105</v>
      </c>
      <c r="C88" s="26" t="s">
        <v>122</v>
      </c>
      <c r="D88" s="24" t="s">
        <v>166</v>
      </c>
      <c r="E88" s="22"/>
      <c r="F88" s="22" t="s">
        <v>245</v>
      </c>
      <c r="G88" s="28" t="s">
        <v>245</v>
      </c>
      <c r="H88" s="27">
        <v>40207</v>
      </c>
      <c r="I88" s="37" t="s">
        <v>101</v>
      </c>
      <c r="J88" s="23"/>
    </row>
    <row r="89" spans="1:10" ht="16.5" customHeight="1" x14ac:dyDescent="0.2">
      <c r="A89" s="21" t="s">
        <v>527</v>
      </c>
      <c r="B89" s="24" t="s">
        <v>106</v>
      </c>
      <c r="C89" s="26" t="s">
        <v>107</v>
      </c>
      <c r="D89" s="24" t="s">
        <v>167</v>
      </c>
      <c r="E89" s="22"/>
      <c r="F89" s="22" t="s">
        <v>245</v>
      </c>
      <c r="G89" s="28" t="s">
        <v>245</v>
      </c>
      <c r="H89" s="27">
        <v>40379</v>
      </c>
      <c r="I89" s="37" t="s">
        <v>101</v>
      </c>
      <c r="J89" s="23"/>
    </row>
    <row r="90" spans="1:10" ht="16.5" customHeight="1" x14ac:dyDescent="0.2">
      <c r="A90" s="21" t="s">
        <v>528</v>
      </c>
      <c r="B90" s="24" t="s">
        <v>112</v>
      </c>
      <c r="C90" s="26" t="s">
        <v>123</v>
      </c>
      <c r="D90" s="24" t="s">
        <v>168</v>
      </c>
      <c r="E90" s="22"/>
      <c r="F90" s="22" t="s">
        <v>245</v>
      </c>
      <c r="G90" s="28" t="s">
        <v>245</v>
      </c>
      <c r="H90" s="27">
        <v>40198</v>
      </c>
      <c r="I90" s="37" t="s">
        <v>101</v>
      </c>
      <c r="J90" s="23"/>
    </row>
    <row r="91" spans="1:10" ht="16.5" customHeight="1" x14ac:dyDescent="0.2">
      <c r="A91" s="21" t="s">
        <v>529</v>
      </c>
      <c r="B91" s="24" t="s">
        <v>105</v>
      </c>
      <c r="C91" s="26" t="s">
        <v>111</v>
      </c>
      <c r="D91" s="24" t="s">
        <v>169</v>
      </c>
      <c r="E91" s="22"/>
      <c r="F91" s="22" t="s">
        <v>245</v>
      </c>
      <c r="G91" s="28" t="s">
        <v>245</v>
      </c>
      <c r="H91" s="27">
        <v>40239</v>
      </c>
      <c r="I91" s="37" t="s">
        <v>101</v>
      </c>
      <c r="J91" s="23"/>
    </row>
    <row r="92" spans="1:10" ht="16.5" customHeight="1" x14ac:dyDescent="0.2">
      <c r="A92" s="21" t="s">
        <v>530</v>
      </c>
      <c r="B92" s="24" t="s">
        <v>109</v>
      </c>
      <c r="C92" s="26" t="s">
        <v>125</v>
      </c>
      <c r="D92" s="24" t="s">
        <v>170</v>
      </c>
      <c r="E92" s="22"/>
      <c r="F92" s="22" t="s">
        <v>245</v>
      </c>
      <c r="G92" s="28" t="s">
        <v>245</v>
      </c>
      <c r="H92" s="27">
        <v>40207</v>
      </c>
      <c r="I92" s="37" t="s">
        <v>101</v>
      </c>
      <c r="J92" s="23" t="s">
        <v>183</v>
      </c>
    </row>
    <row r="93" spans="1:10" ht="16.5" customHeight="1" x14ac:dyDescent="0.2">
      <c r="A93" s="21" t="s">
        <v>531</v>
      </c>
      <c r="B93" s="24" t="s">
        <v>105</v>
      </c>
      <c r="C93" s="26" t="s">
        <v>114</v>
      </c>
      <c r="D93" s="24" t="s">
        <v>171</v>
      </c>
      <c r="E93" s="22" t="s">
        <v>267</v>
      </c>
      <c r="F93" s="22" t="s">
        <v>189</v>
      </c>
      <c r="G93" s="28" t="s">
        <v>90</v>
      </c>
      <c r="H93" s="27">
        <v>41023</v>
      </c>
      <c r="I93" s="92" t="s">
        <v>373</v>
      </c>
      <c r="J93" s="23"/>
    </row>
    <row r="94" spans="1:10" ht="16.5" customHeight="1" x14ac:dyDescent="0.2">
      <c r="A94" s="21" t="s">
        <v>532</v>
      </c>
      <c r="B94" s="24" t="s">
        <v>112</v>
      </c>
      <c r="C94" s="26" t="s">
        <v>115</v>
      </c>
      <c r="D94" s="24" t="s">
        <v>172</v>
      </c>
      <c r="E94" s="22"/>
      <c r="F94" s="22" t="s">
        <v>245</v>
      </c>
      <c r="G94" s="28" t="s">
        <v>245</v>
      </c>
      <c r="H94" s="27">
        <v>40325</v>
      </c>
      <c r="I94" s="37" t="s">
        <v>101</v>
      </c>
      <c r="J94" s="23"/>
    </row>
    <row r="95" spans="1:10" ht="16.5" customHeight="1" x14ac:dyDescent="0.2">
      <c r="A95" s="21" t="s">
        <v>533</v>
      </c>
      <c r="B95" s="24" t="s">
        <v>112</v>
      </c>
      <c r="C95" s="26" t="s">
        <v>123</v>
      </c>
      <c r="D95" s="24" t="s">
        <v>173</v>
      </c>
      <c r="E95" s="22"/>
      <c r="F95" s="22" t="s">
        <v>245</v>
      </c>
      <c r="G95" s="28" t="s">
        <v>245</v>
      </c>
      <c r="H95" s="27">
        <v>40286</v>
      </c>
      <c r="I95" s="37" t="s">
        <v>101</v>
      </c>
      <c r="J95" s="23"/>
    </row>
    <row r="96" spans="1:10" ht="16.5" customHeight="1" x14ac:dyDescent="0.2">
      <c r="A96" s="21" t="s">
        <v>534</v>
      </c>
      <c r="B96" s="24" t="s">
        <v>106</v>
      </c>
      <c r="C96" s="26" t="s">
        <v>107</v>
      </c>
      <c r="D96" s="24" t="s">
        <v>174</v>
      </c>
      <c r="E96" s="22"/>
      <c r="F96" s="22" t="s">
        <v>245</v>
      </c>
      <c r="G96" s="28" t="s">
        <v>245</v>
      </c>
      <c r="H96" s="27">
        <v>40207</v>
      </c>
      <c r="I96" s="37" t="s">
        <v>101</v>
      </c>
      <c r="J96" s="23"/>
    </row>
    <row r="97" spans="1:10" ht="16.5" customHeight="1" x14ac:dyDescent="0.2">
      <c r="A97" s="21" t="s">
        <v>535</v>
      </c>
      <c r="B97" s="24" t="s">
        <v>105</v>
      </c>
      <c r="C97" s="26" t="s">
        <v>122</v>
      </c>
      <c r="D97" s="24" t="s">
        <v>175</v>
      </c>
      <c r="E97" s="22"/>
      <c r="F97" s="22" t="s">
        <v>245</v>
      </c>
      <c r="G97" s="28" t="s">
        <v>245</v>
      </c>
      <c r="H97" s="27">
        <v>40287</v>
      </c>
      <c r="I97" s="37" t="s">
        <v>101</v>
      </c>
      <c r="J97" s="23"/>
    </row>
    <row r="98" spans="1:10" ht="16.5" customHeight="1" x14ac:dyDescent="0.2">
      <c r="A98" s="21" t="s">
        <v>536</v>
      </c>
      <c r="B98" s="24" t="s">
        <v>106</v>
      </c>
      <c r="C98" s="26" t="s">
        <v>108</v>
      </c>
      <c r="D98" s="24" t="s">
        <v>176</v>
      </c>
      <c r="E98" s="22"/>
      <c r="F98" s="22" t="s">
        <v>245</v>
      </c>
      <c r="G98" s="28" t="s">
        <v>245</v>
      </c>
      <c r="H98" s="27">
        <v>40207</v>
      </c>
      <c r="I98" s="37" t="s">
        <v>101</v>
      </c>
      <c r="J98" s="23"/>
    </row>
    <row r="99" spans="1:10" ht="16.5" customHeight="1" x14ac:dyDescent="0.2">
      <c r="A99" s="21" t="s">
        <v>537</v>
      </c>
      <c r="B99" s="24" t="s">
        <v>102</v>
      </c>
      <c r="C99" s="26" t="s">
        <v>182</v>
      </c>
      <c r="D99" s="24" t="s">
        <v>177</v>
      </c>
      <c r="E99" s="22"/>
      <c r="F99" s="22" t="s">
        <v>245</v>
      </c>
      <c r="G99" s="28" t="s">
        <v>245</v>
      </c>
      <c r="H99" s="27">
        <v>40223</v>
      </c>
      <c r="I99" s="37" t="s">
        <v>101</v>
      </c>
      <c r="J99" s="23"/>
    </row>
    <row r="100" spans="1:10" ht="16.5" customHeight="1" x14ac:dyDescent="0.2">
      <c r="A100" s="21" t="s">
        <v>538</v>
      </c>
      <c r="B100" s="24" t="s">
        <v>105</v>
      </c>
      <c r="C100" s="26" t="s">
        <v>122</v>
      </c>
      <c r="D100" s="24" t="s">
        <v>178</v>
      </c>
      <c r="E100" s="22"/>
      <c r="F100" s="22" t="s">
        <v>245</v>
      </c>
      <c r="G100" s="28" t="s">
        <v>245</v>
      </c>
      <c r="H100" s="27">
        <v>40212</v>
      </c>
      <c r="I100" s="37" t="s">
        <v>101</v>
      </c>
      <c r="J100" s="23"/>
    </row>
    <row r="101" spans="1:10" ht="16.5" customHeight="1" x14ac:dyDescent="0.2">
      <c r="A101" s="21" t="s">
        <v>539</v>
      </c>
      <c r="B101" s="24" t="s">
        <v>112</v>
      </c>
      <c r="C101" s="26" t="s">
        <v>115</v>
      </c>
      <c r="D101" s="24" t="s">
        <v>179</v>
      </c>
      <c r="E101" s="22"/>
      <c r="F101" s="22" t="s">
        <v>245</v>
      </c>
      <c r="G101" s="28" t="s">
        <v>245</v>
      </c>
      <c r="H101" s="27">
        <v>40275</v>
      </c>
      <c r="I101" s="37" t="s">
        <v>101</v>
      </c>
      <c r="J101" s="23"/>
    </row>
    <row r="102" spans="1:10" ht="17.25" customHeight="1" x14ac:dyDescent="0.2">
      <c r="A102" s="21" t="s">
        <v>540</v>
      </c>
      <c r="B102" s="24" t="s">
        <v>109</v>
      </c>
      <c r="C102" s="26" t="s">
        <v>110</v>
      </c>
      <c r="D102" s="24" t="s">
        <v>193</v>
      </c>
      <c r="E102" s="22"/>
      <c r="F102" s="22" t="s">
        <v>245</v>
      </c>
      <c r="G102" s="28" t="s">
        <v>245</v>
      </c>
      <c r="H102" s="27">
        <v>40205</v>
      </c>
      <c r="I102" s="37" t="s">
        <v>101</v>
      </c>
      <c r="J102" s="23"/>
    </row>
    <row r="103" spans="1:10" s="65" customFormat="1" ht="17.25" customHeight="1" x14ac:dyDescent="0.2">
      <c r="A103" s="21" t="s">
        <v>541</v>
      </c>
      <c r="B103" s="24" t="s">
        <v>109</v>
      </c>
      <c r="C103" s="26" t="s">
        <v>125</v>
      </c>
      <c r="D103" s="24" t="s">
        <v>194</v>
      </c>
      <c r="E103" s="22"/>
      <c r="F103" s="22" t="s">
        <v>245</v>
      </c>
      <c r="G103" s="28" t="s">
        <v>245</v>
      </c>
      <c r="H103" s="27">
        <v>40206</v>
      </c>
      <c r="I103" s="37" t="s">
        <v>101</v>
      </c>
      <c r="J103" s="23"/>
    </row>
    <row r="104" spans="1:10" s="65" customFormat="1" ht="39" customHeight="1" x14ac:dyDescent="0.2">
      <c r="A104" s="21" t="s">
        <v>542</v>
      </c>
      <c r="B104" s="24" t="s">
        <v>105</v>
      </c>
      <c r="C104" s="26" t="s">
        <v>103</v>
      </c>
      <c r="D104" s="24" t="s">
        <v>262</v>
      </c>
      <c r="E104" s="22" t="s">
        <v>188</v>
      </c>
      <c r="F104" s="22" t="s">
        <v>263</v>
      </c>
      <c r="G104" s="28" t="s">
        <v>264</v>
      </c>
      <c r="H104" s="27">
        <v>41023</v>
      </c>
      <c r="I104" s="65" t="s">
        <v>261</v>
      </c>
      <c r="J104" s="23"/>
    </row>
    <row r="105" spans="1:10" s="65" customFormat="1" ht="25.5" customHeight="1" x14ac:dyDescent="0.2">
      <c r="A105" s="21" t="s">
        <v>543</v>
      </c>
      <c r="B105" s="24" t="s">
        <v>105</v>
      </c>
      <c r="C105" s="26" t="s">
        <v>111</v>
      </c>
      <c r="D105" s="24" t="s">
        <v>147</v>
      </c>
      <c r="E105" s="22" t="s">
        <v>364</v>
      </c>
      <c r="F105" s="22" t="s">
        <v>365</v>
      </c>
      <c r="G105" s="28" t="s">
        <v>367</v>
      </c>
      <c r="H105" s="27"/>
      <c r="I105" s="65" t="s">
        <v>366</v>
      </c>
      <c r="J105" s="23" t="s">
        <v>721</v>
      </c>
    </row>
    <row r="106" spans="1:10" s="65" customFormat="1" ht="29.25" customHeight="1" x14ac:dyDescent="0.2">
      <c r="A106" s="21" t="s">
        <v>544</v>
      </c>
      <c r="B106" s="24" t="s">
        <v>105</v>
      </c>
      <c r="C106" s="26" t="s">
        <v>111</v>
      </c>
      <c r="D106" s="24" t="s">
        <v>148</v>
      </c>
      <c r="E106" s="22" t="s">
        <v>369</v>
      </c>
      <c r="F106" s="22" t="s">
        <v>370</v>
      </c>
      <c r="G106" s="28" t="s">
        <v>371</v>
      </c>
      <c r="H106" s="27"/>
      <c r="I106" s="65" t="s">
        <v>368</v>
      </c>
      <c r="J106" s="23"/>
    </row>
    <row r="107" spans="1:10" ht="17.25" customHeight="1" x14ac:dyDescent="0.2">
      <c r="A107" s="49"/>
      <c r="B107" s="29"/>
      <c r="C107" s="30"/>
      <c r="D107" s="29"/>
      <c r="E107" s="32"/>
      <c r="F107" s="32"/>
      <c r="G107" s="32"/>
      <c r="H107" s="34"/>
      <c r="I107" s="50"/>
      <c r="J107" s="31"/>
    </row>
    <row r="108" spans="1:10" ht="24.75" customHeight="1" x14ac:dyDescent="0.2">
      <c r="A108" s="550" t="s">
        <v>200</v>
      </c>
      <c r="B108" s="550"/>
      <c r="C108" s="550"/>
      <c r="D108" s="550"/>
      <c r="E108" s="550"/>
      <c r="F108" s="1"/>
      <c r="G108" s="1"/>
      <c r="H108" s="7"/>
      <c r="I108" s="7"/>
      <c r="J108" s="6"/>
    </row>
    <row r="109" spans="1:10" ht="26.25" customHeight="1" x14ac:dyDescent="0.2">
      <c r="A109" s="551" t="s">
        <v>201</v>
      </c>
      <c r="B109" s="551"/>
      <c r="C109" s="551"/>
      <c r="D109" s="551"/>
      <c r="E109" s="551"/>
      <c r="F109" s="1"/>
      <c r="G109" s="1"/>
      <c r="H109" s="7"/>
      <c r="I109" s="7"/>
      <c r="J109" s="6"/>
    </row>
    <row r="110" spans="1:10" ht="24" customHeight="1" x14ac:dyDescent="0.2">
      <c r="A110" s="551" t="s">
        <v>260</v>
      </c>
      <c r="B110" s="551"/>
      <c r="C110" s="551"/>
      <c r="D110" s="551"/>
      <c r="E110" s="551"/>
      <c r="F110" s="1"/>
      <c r="G110" s="1"/>
      <c r="H110" s="7"/>
      <c r="I110" s="7"/>
      <c r="J110" s="6"/>
    </row>
    <row r="111" spans="1:10" x14ac:dyDescent="0.2">
      <c r="A111" s="1"/>
      <c r="B111" s="52"/>
      <c r="C111" s="52"/>
      <c r="D111" s="52"/>
      <c r="E111" s="1"/>
      <c r="F111" s="1"/>
      <c r="G111" s="1"/>
      <c r="H111" s="7"/>
      <c r="I111" s="7"/>
      <c r="J111" s="6"/>
    </row>
  </sheetData>
  <mergeCells count="3">
    <mergeCell ref="A108:E108"/>
    <mergeCell ref="A109:E109"/>
    <mergeCell ref="A110:E110"/>
  </mergeCells>
  <conditionalFormatting sqref="A1:A107 A111">
    <cfRule type="containsText" dxfId="4" priority="1" operator="containsText" text="CDM6044">
      <formula>NOT(ISERROR(SEARCH("CDM6044",A1)))</formula>
    </cfRule>
    <cfRule type="containsText" dxfId="3" priority="2" operator="containsText" text="CDM6043">
      <formula>NOT(ISERROR(SEARCH("CDM6043",A1)))</formula>
    </cfRule>
    <cfRule type="containsText" dxfId="2" priority="3" operator="containsText" text="CDM6043">
      <formula>NOT(ISERROR(SEARCH("CDM6043",A1)))</formula>
    </cfRule>
    <cfRule type="containsText" dxfId="1" priority="4" operator="containsText" text="CDM6043">
      <formula>NOT(ISERROR(SEARCH("CDM6043",A1)))</formula>
    </cfRule>
    <cfRule type="containsText" dxfId="0" priority="5" operator="containsText" text="CDM6042">
      <formula>NOT(ISERROR(SEARCH("CDM6042",A1)))</formula>
    </cfRule>
  </conditionalFormatting>
  <hyperlinks>
    <hyperlink ref="A108" r:id="rId1" display="* &quot;Copenhagen Accord&quot; referes to countries submissions of information and their accosiation with the Accord relating to Appendix II of the Copenhagen Accord" xr:uid="{00000000-0004-0000-0400-000000000000}"/>
    <hyperlink ref="A109" r:id="rId2" display="** &quot;Copenhagen Accord, chapeau&quot; referes to countries submissions of their accosiation with the Accord in relation to the listing in the chapeau of the Copenhagen Accord" xr:uid="{00000000-0004-0000-0400-000001000000}"/>
    <hyperlink ref="A110" r:id="rId3" display="unfccc.int/cooperation_support/nama/items/6945.php" xr:uid="{00000000-0004-0000-0400-000002000000}"/>
  </hyperlinks>
  <pageMargins left="0.74803149606299213" right="0.74803149606299213" top="0.74803149606299213" bottom="0.74803149606299213" header="0.15748031496062992" footer="0.15748031496062992"/>
  <pageSetup paperSize="9" scale="16" orientation="landscape"/>
  <headerFooter alignWithMargins="0"/>
  <legacyDrawing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HN2"/>
  <sheetViews>
    <sheetView topLeftCell="CU1" zoomScale="85" zoomScaleNormal="85" workbookViewId="0">
      <selection activeCell="DE27" sqref="DE27"/>
    </sheetView>
  </sheetViews>
  <sheetFormatPr defaultRowHeight="12.75" x14ac:dyDescent="0.2"/>
  <cols>
    <col min="1" max="1" width="29.5703125" customWidth="1"/>
    <col min="2" max="122" width="7.28515625" customWidth="1"/>
  </cols>
  <sheetData>
    <row r="1" spans="1:222" x14ac:dyDescent="0.2">
      <c r="B1" s="183">
        <v>40909</v>
      </c>
      <c r="C1" s="184">
        <v>40940</v>
      </c>
      <c r="D1" s="184">
        <v>40969</v>
      </c>
      <c r="E1" s="184">
        <v>41000</v>
      </c>
      <c r="F1" s="184">
        <v>41030</v>
      </c>
      <c r="G1" s="184">
        <v>41061</v>
      </c>
      <c r="H1" s="184">
        <v>41091</v>
      </c>
      <c r="I1" s="184">
        <v>41122</v>
      </c>
      <c r="J1" s="184">
        <v>41153</v>
      </c>
      <c r="K1" s="184">
        <v>41183</v>
      </c>
      <c r="L1" s="184">
        <v>41214</v>
      </c>
      <c r="M1" s="185">
        <v>41244</v>
      </c>
      <c r="N1" s="183">
        <v>41275</v>
      </c>
      <c r="O1" s="184">
        <v>41306</v>
      </c>
      <c r="P1" s="184">
        <v>41334</v>
      </c>
      <c r="Q1" s="184">
        <v>41365</v>
      </c>
      <c r="R1" s="184">
        <v>41395</v>
      </c>
      <c r="S1" s="184">
        <v>41426</v>
      </c>
      <c r="T1" s="184">
        <v>41456</v>
      </c>
      <c r="U1" s="184">
        <v>41487</v>
      </c>
      <c r="V1" s="184">
        <v>41518</v>
      </c>
      <c r="W1" s="184">
        <v>41548</v>
      </c>
      <c r="X1" s="184">
        <v>41579</v>
      </c>
      <c r="Y1" s="185">
        <v>41609</v>
      </c>
      <c r="Z1" s="183">
        <v>41640</v>
      </c>
      <c r="AA1" s="184">
        <v>41671</v>
      </c>
      <c r="AB1" s="184">
        <v>41699</v>
      </c>
      <c r="AC1" s="184">
        <v>41730</v>
      </c>
      <c r="AD1" s="184">
        <v>41760</v>
      </c>
      <c r="AE1" s="184">
        <v>41791</v>
      </c>
      <c r="AF1" s="184">
        <v>41821</v>
      </c>
      <c r="AG1" s="184">
        <v>41852</v>
      </c>
      <c r="AH1" s="184">
        <v>41883</v>
      </c>
      <c r="AI1" s="184">
        <v>41913</v>
      </c>
      <c r="AJ1" s="184">
        <v>41944</v>
      </c>
      <c r="AK1" s="184">
        <v>41974</v>
      </c>
      <c r="AL1" s="183">
        <v>42005</v>
      </c>
      <c r="AM1" s="184">
        <v>42036</v>
      </c>
      <c r="AN1" s="184">
        <v>42064</v>
      </c>
      <c r="AO1" s="184">
        <v>42095</v>
      </c>
      <c r="AP1" s="184">
        <v>42125</v>
      </c>
      <c r="AQ1" s="184">
        <v>42156</v>
      </c>
      <c r="AR1" s="184">
        <v>42186</v>
      </c>
      <c r="AS1" s="184">
        <v>42217</v>
      </c>
      <c r="AT1" s="184">
        <v>42248</v>
      </c>
      <c r="AU1" s="184">
        <v>42278</v>
      </c>
      <c r="AV1" s="184">
        <v>42309</v>
      </c>
      <c r="AW1" s="184">
        <v>42339</v>
      </c>
      <c r="AX1" s="183">
        <v>42370</v>
      </c>
      <c r="AY1" s="184">
        <v>42401</v>
      </c>
      <c r="AZ1" s="184">
        <v>42430</v>
      </c>
      <c r="BA1" s="184">
        <v>42461</v>
      </c>
      <c r="BB1" s="184">
        <v>42491</v>
      </c>
      <c r="BC1" s="184">
        <v>42522</v>
      </c>
      <c r="BD1" s="184">
        <v>42552</v>
      </c>
      <c r="BE1" s="184">
        <v>42583</v>
      </c>
      <c r="BF1" s="184">
        <v>42614</v>
      </c>
      <c r="BG1" s="184">
        <v>42644</v>
      </c>
      <c r="BH1" s="184">
        <v>42675</v>
      </c>
      <c r="BI1" s="185">
        <v>42705</v>
      </c>
      <c r="BJ1" s="183">
        <v>42736</v>
      </c>
      <c r="BK1" s="184">
        <v>42767</v>
      </c>
      <c r="BL1" s="184">
        <v>42795</v>
      </c>
      <c r="BM1" s="184">
        <v>42826</v>
      </c>
      <c r="BN1" s="184">
        <v>42856</v>
      </c>
      <c r="BO1" s="184">
        <v>42887</v>
      </c>
      <c r="BP1" s="184">
        <v>42917</v>
      </c>
      <c r="BQ1" s="184">
        <v>42948</v>
      </c>
      <c r="BR1" s="184">
        <v>42979</v>
      </c>
      <c r="BS1" s="184">
        <v>43009</v>
      </c>
      <c r="BT1" s="184">
        <v>43040</v>
      </c>
      <c r="BU1" s="185">
        <v>43070</v>
      </c>
      <c r="BV1" s="183">
        <v>43101</v>
      </c>
      <c r="BW1" s="184">
        <v>43132</v>
      </c>
      <c r="BX1" s="184">
        <v>43160</v>
      </c>
      <c r="BY1" s="184">
        <v>43191</v>
      </c>
      <c r="BZ1" s="184">
        <v>43221</v>
      </c>
      <c r="CA1" s="184">
        <v>43252</v>
      </c>
      <c r="CB1" s="184">
        <v>43282</v>
      </c>
      <c r="CC1" s="184">
        <v>43313</v>
      </c>
      <c r="CD1" s="184">
        <v>43344</v>
      </c>
      <c r="CE1" s="184">
        <v>43374</v>
      </c>
      <c r="CF1" s="184">
        <v>43405</v>
      </c>
      <c r="CG1" s="185">
        <v>43435</v>
      </c>
      <c r="CH1" s="183">
        <v>43466</v>
      </c>
      <c r="CI1" s="184">
        <v>43497</v>
      </c>
      <c r="CJ1" s="184">
        <v>43525</v>
      </c>
      <c r="CK1" s="184">
        <v>43556</v>
      </c>
      <c r="CL1" s="184">
        <v>43586</v>
      </c>
      <c r="CM1" s="184">
        <v>43617</v>
      </c>
      <c r="CN1" s="184">
        <v>43647</v>
      </c>
      <c r="CO1" s="184">
        <v>43678</v>
      </c>
      <c r="CP1" s="184">
        <v>43709</v>
      </c>
      <c r="CQ1" s="184">
        <v>43739</v>
      </c>
      <c r="CR1" s="184">
        <v>43770</v>
      </c>
      <c r="CS1" s="185">
        <v>43800</v>
      </c>
      <c r="CT1" s="183">
        <v>43831</v>
      </c>
      <c r="CU1" s="184">
        <v>43862</v>
      </c>
      <c r="CV1" s="184">
        <v>43891</v>
      </c>
      <c r="CW1" s="184">
        <v>43922</v>
      </c>
      <c r="CX1" s="184">
        <v>43952</v>
      </c>
      <c r="CY1" s="184">
        <v>43983</v>
      </c>
      <c r="CZ1" s="184">
        <v>44013</v>
      </c>
      <c r="DA1" s="184">
        <v>44044</v>
      </c>
      <c r="DB1" s="184">
        <v>44075</v>
      </c>
      <c r="DC1" s="184">
        <v>44105</v>
      </c>
      <c r="DD1" s="184">
        <v>44136</v>
      </c>
      <c r="DE1" s="185">
        <v>44166</v>
      </c>
      <c r="DF1" s="183">
        <v>44197</v>
      </c>
      <c r="DG1" s="184">
        <v>44228</v>
      </c>
      <c r="DH1" s="184">
        <v>44256</v>
      </c>
      <c r="DI1" s="184">
        <v>44287</v>
      </c>
      <c r="DJ1" s="184">
        <v>44317</v>
      </c>
      <c r="DK1" s="184">
        <v>44348</v>
      </c>
      <c r="DL1" s="184">
        <v>44378</v>
      </c>
      <c r="DM1" s="184">
        <v>44409</v>
      </c>
      <c r="DN1" s="184">
        <v>44440</v>
      </c>
      <c r="DO1" s="184">
        <v>44470</v>
      </c>
      <c r="DP1" s="184">
        <v>44501</v>
      </c>
      <c r="DQ1" s="185">
        <v>44531</v>
      </c>
      <c r="DR1" s="115" t="s">
        <v>431</v>
      </c>
    </row>
    <row r="2" spans="1:222" x14ac:dyDescent="0.2">
      <c r="A2" t="s">
        <v>776</v>
      </c>
      <c r="B2" s="186"/>
      <c r="C2" s="187"/>
      <c r="D2" s="187"/>
      <c r="E2" s="187"/>
      <c r="F2" s="187"/>
      <c r="G2" s="187"/>
      <c r="H2" s="187"/>
      <c r="I2" s="187"/>
      <c r="J2" s="187">
        <v>2</v>
      </c>
      <c r="K2" s="187">
        <v>1</v>
      </c>
      <c r="L2" s="187">
        <v>7</v>
      </c>
      <c r="M2" s="188">
        <v>1</v>
      </c>
      <c r="N2" s="186">
        <v>1</v>
      </c>
      <c r="O2" s="187"/>
      <c r="P2" s="187">
        <v>2</v>
      </c>
      <c r="Q2" s="187">
        <v>14</v>
      </c>
      <c r="R2" s="187"/>
      <c r="S2" s="187">
        <v>9</v>
      </c>
      <c r="T2" s="187"/>
      <c r="U2" s="187"/>
      <c r="V2" s="187"/>
      <c r="W2" s="187"/>
      <c r="X2" s="187">
        <v>2</v>
      </c>
      <c r="Y2" s="188"/>
      <c r="Z2" s="186"/>
      <c r="AA2" s="187">
        <v>1</v>
      </c>
      <c r="AB2" s="187">
        <v>2</v>
      </c>
      <c r="AC2" s="187">
        <v>1</v>
      </c>
      <c r="AD2" s="187">
        <v>2</v>
      </c>
      <c r="AE2" s="187">
        <v>2</v>
      </c>
      <c r="AF2" s="187"/>
      <c r="AG2" s="187">
        <v>2</v>
      </c>
      <c r="AH2" s="187">
        <v>1</v>
      </c>
      <c r="AI2" s="187">
        <v>9</v>
      </c>
      <c r="AJ2" s="187">
        <v>4</v>
      </c>
      <c r="AK2" s="187">
        <v>19</v>
      </c>
      <c r="AL2" s="193">
        <v>4</v>
      </c>
      <c r="AM2" s="156"/>
      <c r="AN2" s="156"/>
      <c r="AO2" s="156">
        <v>1</v>
      </c>
      <c r="AP2" s="156"/>
      <c r="AQ2" s="156">
        <v>7</v>
      </c>
      <c r="AR2" s="156">
        <v>3</v>
      </c>
      <c r="AS2" s="156">
        <v>2</v>
      </c>
      <c r="AT2" s="156"/>
      <c r="AU2" s="156">
        <v>13</v>
      </c>
      <c r="AV2" s="156">
        <v>6</v>
      </c>
      <c r="AW2" s="284">
        <v>3</v>
      </c>
      <c r="AX2" s="193">
        <v>3</v>
      </c>
      <c r="AY2" s="156">
        <v>3</v>
      </c>
      <c r="AZ2" s="156">
        <v>1</v>
      </c>
      <c r="BA2" s="156">
        <v>1</v>
      </c>
      <c r="BB2" s="156">
        <v>5</v>
      </c>
      <c r="BC2" s="156"/>
      <c r="BD2" s="156">
        <v>2</v>
      </c>
      <c r="BE2" s="156">
        <v>1</v>
      </c>
      <c r="BF2" s="156">
        <v>1</v>
      </c>
      <c r="BG2" s="156">
        <v>1</v>
      </c>
      <c r="BH2" s="156">
        <v>1</v>
      </c>
      <c r="BI2" s="284"/>
      <c r="BJ2" s="193"/>
      <c r="BK2" s="156">
        <v>1</v>
      </c>
      <c r="BL2" s="156">
        <v>4</v>
      </c>
      <c r="BM2" s="156"/>
      <c r="BN2" s="156"/>
      <c r="BO2" s="156"/>
      <c r="BP2" s="156">
        <v>2</v>
      </c>
      <c r="BQ2" s="156"/>
      <c r="BR2" s="156">
        <v>1</v>
      </c>
      <c r="BS2" s="156"/>
      <c r="BT2" s="156"/>
      <c r="BU2" s="284"/>
      <c r="BV2" s="193">
        <v>16</v>
      </c>
      <c r="BW2" s="156">
        <v>2</v>
      </c>
      <c r="BX2" s="156">
        <v>2</v>
      </c>
      <c r="BY2" s="156"/>
      <c r="BZ2" s="156"/>
      <c r="CA2" s="156"/>
      <c r="CB2" s="156"/>
      <c r="CC2" s="156"/>
      <c r="CD2" s="156">
        <v>1</v>
      </c>
      <c r="CE2" s="156">
        <v>2</v>
      </c>
      <c r="CF2" s="156"/>
      <c r="CG2" s="284"/>
      <c r="CH2" s="193">
        <v>2</v>
      </c>
      <c r="CI2" s="156">
        <v>1</v>
      </c>
      <c r="CJ2" s="156">
        <v>1</v>
      </c>
      <c r="CK2" s="156"/>
      <c r="CL2" s="156">
        <v>1</v>
      </c>
      <c r="CM2" s="156"/>
      <c r="CN2" s="156">
        <v>1</v>
      </c>
      <c r="CO2" s="156"/>
      <c r="CP2" s="156">
        <v>6</v>
      </c>
      <c r="CQ2" s="156">
        <v>1</v>
      </c>
      <c r="CR2" s="156"/>
      <c r="CS2" s="284"/>
      <c r="CT2" s="193"/>
      <c r="CU2" s="156"/>
      <c r="CV2" s="156">
        <v>1</v>
      </c>
      <c r="CW2" s="156">
        <v>1</v>
      </c>
      <c r="CX2" s="156"/>
      <c r="CY2" s="156"/>
      <c r="CZ2" s="156"/>
      <c r="DA2" s="156">
        <v>2</v>
      </c>
      <c r="DB2" s="156">
        <v>1</v>
      </c>
      <c r="DC2" s="156">
        <v>1</v>
      </c>
      <c r="DD2" s="156"/>
      <c r="DE2" s="284"/>
      <c r="DF2" s="193">
        <v>1</v>
      </c>
      <c r="DG2" s="156">
        <v>1</v>
      </c>
      <c r="DH2" s="156"/>
      <c r="DI2" s="156">
        <v>1</v>
      </c>
      <c r="DJ2" s="156"/>
      <c r="DK2" s="156"/>
      <c r="DL2" s="156">
        <v>1</v>
      </c>
      <c r="DM2" s="156"/>
      <c r="DN2" s="156"/>
      <c r="DO2" s="156"/>
      <c r="DP2" s="156"/>
      <c r="DQ2" s="284"/>
      <c r="DR2" s="188">
        <f>SUM(B2:DF2)</f>
        <v>191</v>
      </c>
      <c r="DS2" s="123"/>
      <c r="DT2" s="123"/>
      <c r="DU2" s="123"/>
      <c r="DV2" s="123"/>
      <c r="DW2" s="123"/>
      <c r="DX2" s="123"/>
      <c r="DY2" s="123"/>
      <c r="DZ2" s="123"/>
      <c r="EA2" s="123"/>
      <c r="EB2" s="123"/>
      <c r="EC2" s="123"/>
      <c r="GU2">
        <v>3</v>
      </c>
      <c r="GV2">
        <v>1</v>
      </c>
      <c r="GW2">
        <v>8</v>
      </c>
      <c r="GX2">
        <v>1</v>
      </c>
      <c r="GY2">
        <v>1</v>
      </c>
      <c r="HA2">
        <v>2</v>
      </c>
      <c r="HB2">
        <v>14</v>
      </c>
      <c r="HD2">
        <v>9</v>
      </c>
      <c r="HH2">
        <v>1</v>
      </c>
      <c r="HI2">
        <v>2</v>
      </c>
      <c r="HL2">
        <v>1</v>
      </c>
      <c r="HM2">
        <v>2</v>
      </c>
      <c r="HN2">
        <v>1</v>
      </c>
    </row>
  </sheetData>
  <pageMargins left="0.7" right="0.7" top="0.75" bottom="0.75" header="0.3" footer="0.3"/>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2:F39"/>
  <sheetViews>
    <sheetView zoomScaleNormal="100" workbookViewId="0">
      <selection activeCell="C36" sqref="C36"/>
    </sheetView>
  </sheetViews>
  <sheetFormatPr defaultRowHeight="12.75" x14ac:dyDescent="0.2"/>
  <cols>
    <col min="1" max="1" width="7.42578125" customWidth="1"/>
    <col min="2" max="2" width="83.85546875" customWidth="1"/>
    <col min="3" max="3" width="11.7109375" customWidth="1"/>
    <col min="4" max="4" width="6.140625" style="85" customWidth="1"/>
    <col min="5" max="5" width="7.7109375" customWidth="1"/>
  </cols>
  <sheetData>
    <row r="2" spans="1:6" x14ac:dyDescent="0.2">
      <c r="A2" s="102" t="s">
        <v>2410</v>
      </c>
      <c r="B2" s="101" t="s">
        <v>1798</v>
      </c>
      <c r="C2" s="102"/>
      <c r="D2" s="393" t="s">
        <v>1796</v>
      </c>
      <c r="E2" s="394" t="s">
        <v>1797</v>
      </c>
    </row>
    <row r="3" spans="1:6" x14ac:dyDescent="0.2">
      <c r="A3" s="383" t="s">
        <v>1793</v>
      </c>
      <c r="B3" s="383" t="s">
        <v>2421</v>
      </c>
      <c r="C3" s="111" t="s">
        <v>46</v>
      </c>
      <c r="D3" s="392"/>
      <c r="E3" s="475">
        <v>3</v>
      </c>
      <c r="F3" s="123"/>
    </row>
    <row r="4" spans="1:6" x14ac:dyDescent="0.2">
      <c r="A4" s="383" t="s">
        <v>1794</v>
      </c>
      <c r="B4" s="111" t="s">
        <v>1640</v>
      </c>
      <c r="C4" s="111" t="s">
        <v>65</v>
      </c>
      <c r="D4" s="392"/>
      <c r="E4" s="475">
        <v>14</v>
      </c>
      <c r="F4" s="123"/>
    </row>
    <row r="5" spans="1:6" x14ac:dyDescent="0.2">
      <c r="A5" s="383" t="s">
        <v>1795</v>
      </c>
      <c r="B5" s="111" t="s">
        <v>1032</v>
      </c>
      <c r="C5" s="111" t="s">
        <v>58</v>
      </c>
      <c r="D5" s="392"/>
      <c r="E5" s="475">
        <v>7</v>
      </c>
      <c r="F5" s="123"/>
    </row>
    <row r="6" spans="1:6" x14ac:dyDescent="0.2">
      <c r="A6" s="383" t="s">
        <v>804</v>
      </c>
      <c r="B6" s="111" t="s">
        <v>806</v>
      </c>
      <c r="C6" s="111" t="s">
        <v>73</v>
      </c>
      <c r="D6" s="392"/>
      <c r="E6" s="474">
        <v>14</v>
      </c>
      <c r="F6" s="123"/>
    </row>
    <row r="7" spans="1:6" x14ac:dyDescent="0.2">
      <c r="A7" s="383" t="s">
        <v>881</v>
      </c>
      <c r="B7" s="111" t="s">
        <v>880</v>
      </c>
      <c r="C7" s="111" t="s">
        <v>55</v>
      </c>
      <c r="D7" s="511"/>
      <c r="E7" s="475">
        <v>14.9</v>
      </c>
      <c r="F7" s="123"/>
    </row>
    <row r="8" spans="1:6" x14ac:dyDescent="0.2">
      <c r="A8" s="383" t="s">
        <v>1416</v>
      </c>
      <c r="B8" s="111" t="s">
        <v>1415</v>
      </c>
      <c r="C8" s="111" t="s">
        <v>1419</v>
      </c>
      <c r="D8" s="511"/>
      <c r="E8" s="475">
        <v>14.7</v>
      </c>
      <c r="F8" s="123"/>
    </row>
    <row r="9" spans="1:6" x14ac:dyDescent="0.2">
      <c r="A9" s="383" t="s">
        <v>1697</v>
      </c>
      <c r="B9" s="111" t="s">
        <v>1696</v>
      </c>
      <c r="C9" s="111" t="s">
        <v>55</v>
      </c>
      <c r="D9" s="392"/>
      <c r="E9" s="475">
        <v>9</v>
      </c>
      <c r="F9" s="123"/>
    </row>
    <row r="10" spans="1:6" x14ac:dyDescent="0.2">
      <c r="A10" s="383" t="s">
        <v>1766</v>
      </c>
      <c r="B10" s="111" t="s">
        <v>2076</v>
      </c>
      <c r="C10" s="111" t="s">
        <v>77</v>
      </c>
      <c r="D10" s="392"/>
      <c r="E10" s="475">
        <v>9</v>
      </c>
      <c r="F10" s="123"/>
    </row>
    <row r="11" spans="1:6" x14ac:dyDescent="0.2">
      <c r="A11" s="383" t="s">
        <v>2235</v>
      </c>
      <c r="B11" s="111" t="s">
        <v>1810</v>
      </c>
      <c r="C11" s="111" t="s">
        <v>1809</v>
      </c>
      <c r="D11" s="392"/>
      <c r="E11" s="475">
        <v>10.9</v>
      </c>
      <c r="F11" s="123"/>
    </row>
    <row r="12" spans="1:6" x14ac:dyDescent="0.2">
      <c r="A12" s="383"/>
      <c r="B12" s="111" t="s">
        <v>2245</v>
      </c>
      <c r="C12" s="383" t="s">
        <v>84</v>
      </c>
      <c r="D12" s="392"/>
      <c r="E12" s="392">
        <v>13</v>
      </c>
      <c r="F12" s="123"/>
    </row>
    <row r="13" spans="1:6" x14ac:dyDescent="0.2">
      <c r="A13" s="383"/>
      <c r="B13" s="111" t="s">
        <v>2247</v>
      </c>
      <c r="C13" s="111" t="s">
        <v>141</v>
      </c>
      <c r="D13" s="392"/>
      <c r="E13" s="392">
        <v>13.5</v>
      </c>
      <c r="F13" s="123"/>
    </row>
    <row r="14" spans="1:6" x14ac:dyDescent="0.2">
      <c r="A14" s="383"/>
      <c r="B14" s="111" t="s">
        <v>2242</v>
      </c>
      <c r="C14" s="111" t="s">
        <v>53</v>
      </c>
      <c r="D14" s="392"/>
      <c r="E14" s="392">
        <v>8</v>
      </c>
      <c r="F14" s="123"/>
    </row>
    <row r="15" spans="1:6" x14ac:dyDescent="0.2">
      <c r="A15" s="383"/>
      <c r="B15" s="111" t="s">
        <v>2243</v>
      </c>
      <c r="C15" s="111" t="s">
        <v>152</v>
      </c>
      <c r="D15" s="392"/>
      <c r="E15" s="392">
        <v>20</v>
      </c>
      <c r="F15" s="123"/>
    </row>
    <row r="16" spans="1:6" x14ac:dyDescent="0.2">
      <c r="A16" s="383"/>
      <c r="B16" s="111" t="s">
        <v>2075</v>
      </c>
      <c r="C16" s="111" t="s">
        <v>83</v>
      </c>
      <c r="D16" s="392"/>
      <c r="E16" s="392">
        <v>20</v>
      </c>
      <c r="F16" s="123"/>
    </row>
    <row r="17" spans="1:6" x14ac:dyDescent="0.2">
      <c r="A17" s="383"/>
      <c r="B17" s="111" t="s">
        <v>2077</v>
      </c>
      <c r="C17" s="111" t="s">
        <v>87</v>
      </c>
      <c r="D17" s="392"/>
      <c r="E17" s="392"/>
      <c r="F17" s="123"/>
    </row>
    <row r="18" spans="1:6" x14ac:dyDescent="0.2">
      <c r="A18" s="383"/>
      <c r="B18" s="111" t="s">
        <v>2078</v>
      </c>
      <c r="C18" s="111" t="s">
        <v>2079</v>
      </c>
      <c r="D18" s="392"/>
      <c r="E18" s="392"/>
      <c r="F18" s="123"/>
    </row>
    <row r="19" spans="1:6" x14ac:dyDescent="0.2">
      <c r="A19" s="383"/>
      <c r="B19" s="111" t="s">
        <v>2080</v>
      </c>
      <c r="C19" s="111" t="s">
        <v>1419</v>
      </c>
      <c r="D19" s="392"/>
      <c r="E19" s="392"/>
      <c r="F19" s="123"/>
    </row>
    <row r="20" spans="1:6" x14ac:dyDescent="0.2">
      <c r="A20" s="383"/>
      <c r="B20" s="111" t="s">
        <v>2081</v>
      </c>
      <c r="C20" s="111" t="s">
        <v>5</v>
      </c>
      <c r="D20" s="392">
        <v>11.25</v>
      </c>
      <c r="E20" s="392"/>
      <c r="F20" s="123"/>
    </row>
    <row r="21" spans="1:6" x14ac:dyDescent="0.2">
      <c r="A21" s="383"/>
      <c r="B21" s="111" t="s">
        <v>2082</v>
      </c>
      <c r="C21" s="111" t="s">
        <v>73</v>
      </c>
      <c r="D21" s="392"/>
      <c r="E21" s="392">
        <v>7</v>
      </c>
      <c r="F21" s="123"/>
    </row>
    <row r="22" spans="1:6" x14ac:dyDescent="0.2">
      <c r="A22" s="383"/>
      <c r="B22" s="111" t="s">
        <v>2083</v>
      </c>
      <c r="C22" s="111" t="s">
        <v>175</v>
      </c>
      <c r="D22" s="392"/>
      <c r="E22" s="392"/>
      <c r="F22" s="123"/>
    </row>
    <row r="23" spans="1:6" x14ac:dyDescent="0.2">
      <c r="A23" s="383"/>
      <c r="B23" s="111" t="s">
        <v>2244</v>
      </c>
      <c r="C23" s="111" t="s">
        <v>73</v>
      </c>
      <c r="D23" s="392">
        <v>15</v>
      </c>
      <c r="E23" s="392"/>
      <c r="F23" s="123"/>
    </row>
    <row r="24" spans="1:6" x14ac:dyDescent="0.2">
      <c r="A24" s="383"/>
      <c r="B24" s="111" t="s">
        <v>2246</v>
      </c>
      <c r="C24" s="111" t="s">
        <v>147</v>
      </c>
      <c r="D24" s="392"/>
      <c r="E24" s="392">
        <v>10.6</v>
      </c>
      <c r="F24" s="123"/>
    </row>
    <row r="25" spans="1:6" x14ac:dyDescent="0.2">
      <c r="A25" s="383"/>
      <c r="B25" s="111" t="s">
        <v>2272</v>
      </c>
      <c r="C25" s="111" t="s">
        <v>73</v>
      </c>
      <c r="D25" s="392"/>
      <c r="E25" s="392">
        <v>14</v>
      </c>
      <c r="F25" s="123"/>
    </row>
    <row r="26" spans="1:6" x14ac:dyDescent="0.2">
      <c r="A26" s="383"/>
      <c r="B26" s="111" t="s">
        <v>2412</v>
      </c>
      <c r="C26" s="111" t="s">
        <v>2413</v>
      </c>
      <c r="D26" s="392"/>
      <c r="E26" s="392"/>
      <c r="F26" s="123"/>
    </row>
    <row r="27" spans="1:6" x14ac:dyDescent="0.2">
      <c r="A27" s="383"/>
      <c r="B27" s="111" t="s">
        <v>2414</v>
      </c>
      <c r="C27" s="111" t="s">
        <v>160</v>
      </c>
      <c r="D27" s="392"/>
      <c r="E27" s="392"/>
      <c r="F27" s="123"/>
    </row>
    <row r="28" spans="1:6" x14ac:dyDescent="0.2">
      <c r="A28" s="383"/>
      <c r="B28" s="111" t="s">
        <v>2415</v>
      </c>
      <c r="C28" s="111" t="s">
        <v>75</v>
      </c>
      <c r="D28" s="392"/>
      <c r="E28" s="392"/>
      <c r="F28" s="123"/>
    </row>
    <row r="29" spans="1:6" x14ac:dyDescent="0.2">
      <c r="A29" s="383"/>
      <c r="B29" s="111" t="s">
        <v>2416</v>
      </c>
      <c r="C29" s="111" t="s">
        <v>68</v>
      </c>
      <c r="D29" s="392"/>
      <c r="E29" s="392"/>
      <c r="F29" s="123"/>
    </row>
    <row r="30" spans="1:6" x14ac:dyDescent="0.2">
      <c r="A30" s="383"/>
      <c r="B30" s="111" t="s">
        <v>2417</v>
      </c>
      <c r="C30" s="111" t="s">
        <v>67</v>
      </c>
      <c r="D30" s="392"/>
      <c r="E30" s="392"/>
      <c r="F30" s="123"/>
    </row>
    <row r="31" spans="1:6" x14ac:dyDescent="0.2">
      <c r="A31" s="383"/>
      <c r="B31" s="111" t="s">
        <v>2418</v>
      </c>
      <c r="C31" s="111" t="s">
        <v>64</v>
      </c>
      <c r="D31" s="392"/>
      <c r="E31" s="392"/>
      <c r="F31" s="123"/>
    </row>
    <row r="32" spans="1:6" x14ac:dyDescent="0.2">
      <c r="A32" s="383"/>
      <c r="B32" s="111" t="s">
        <v>2419</v>
      </c>
      <c r="C32" s="111" t="s">
        <v>199</v>
      </c>
      <c r="D32" s="392"/>
      <c r="E32" s="392"/>
      <c r="F32" s="123"/>
    </row>
    <row r="33" spans="1:6" x14ac:dyDescent="0.2">
      <c r="A33" s="383"/>
      <c r="B33" s="111" t="s">
        <v>2420</v>
      </c>
      <c r="C33" s="111" t="s">
        <v>1809</v>
      </c>
      <c r="D33" s="392"/>
      <c r="E33" s="392"/>
      <c r="F33" s="123"/>
    </row>
    <row r="34" spans="1:6" x14ac:dyDescent="0.2">
      <c r="A34" s="383"/>
      <c r="B34" s="111" t="s">
        <v>2422</v>
      </c>
      <c r="C34" s="111" t="s">
        <v>143</v>
      </c>
      <c r="D34" s="392"/>
      <c r="E34" s="392"/>
      <c r="F34" s="123"/>
    </row>
    <row r="35" spans="1:6" x14ac:dyDescent="0.2">
      <c r="A35" s="383"/>
      <c r="B35" s="111" t="s">
        <v>2423</v>
      </c>
      <c r="C35" s="111" t="s">
        <v>5</v>
      </c>
      <c r="D35" s="392"/>
      <c r="E35" s="392"/>
      <c r="F35" s="123"/>
    </row>
    <row r="36" spans="1:6" x14ac:dyDescent="0.2">
      <c r="A36" s="383"/>
      <c r="B36" s="111"/>
      <c r="C36" s="111"/>
      <c r="D36" s="392"/>
      <c r="E36" s="392"/>
      <c r="F36" s="123"/>
    </row>
    <row r="37" spans="1:6" x14ac:dyDescent="0.2">
      <c r="A37" s="102"/>
      <c r="B37" s="101" t="s">
        <v>431</v>
      </c>
      <c r="C37" s="101"/>
      <c r="D37" s="395">
        <f>SUM(D3:D36)</f>
        <v>26.25</v>
      </c>
      <c r="E37" s="395">
        <f>SUM(E3:E36)</f>
        <v>202.6</v>
      </c>
      <c r="F37" s="123"/>
    </row>
    <row r="38" spans="1:6" x14ac:dyDescent="0.2">
      <c r="B38" s="500" t="s">
        <v>2241</v>
      </c>
      <c r="E38" s="85"/>
    </row>
    <row r="39" spans="1:6" x14ac:dyDescent="0.2">
      <c r="E39" s="85"/>
    </row>
  </sheetData>
  <pageMargins left="0.7" right="0.7" top="0.75" bottom="0.75" header="0.3" footer="0.3"/>
  <pageSetup paperSize="9"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12</vt:i4>
      </vt:variant>
    </vt:vector>
  </HeadingPairs>
  <TitlesOfParts>
    <vt:vector size="19" baseType="lpstr">
      <vt:lpstr>NAMAs</vt:lpstr>
      <vt:lpstr>Support</vt:lpstr>
      <vt:lpstr>Analysis</vt:lpstr>
      <vt:lpstr>TC Taxonomy</vt:lpstr>
      <vt:lpstr>Submissions</vt:lpstr>
      <vt:lpstr>Time</vt:lpstr>
      <vt:lpstr>NAMA Facility</vt:lpstr>
      <vt:lpstr>Abovehost</vt:lpstr>
      <vt:lpstr>Belowhost</vt:lpstr>
      <vt:lpstr>Category</vt:lpstr>
      <vt:lpstr>Countrytable</vt:lpstr>
      <vt:lpstr>Financial</vt:lpstr>
      <vt:lpstr>Host</vt:lpstr>
      <vt:lpstr>Lastline</vt:lpstr>
      <vt:lpstr>ReductionIn2020</vt:lpstr>
      <vt:lpstr>Status</vt:lpstr>
      <vt:lpstr>Submissiondate</vt:lpstr>
      <vt:lpstr>Total_cost</vt:lpstr>
      <vt:lpstr>Total_request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hrm</dc:creator>
  <cp:lastModifiedBy>Jorgen Fenhann</cp:lastModifiedBy>
  <cp:lastPrinted>2020-04-14T12:30:53Z</cp:lastPrinted>
  <dcterms:created xsi:type="dcterms:W3CDTF">2011-06-09T20:13:45Z</dcterms:created>
  <dcterms:modified xsi:type="dcterms:W3CDTF">2022-10-03T11:01:55Z</dcterms:modified>
</cp:coreProperties>
</file>